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D723628F-C437-4B94-9034-AFE4004D6476}" xr6:coauthVersionLast="47" xr6:coauthVersionMax="47" xr10:uidLastSave="{00000000-0000-0000-0000-000000000000}"/>
  <bookViews>
    <workbookView xWindow="-110" yWindow="-110" windowWidth="19420" windowHeight="10420" activeTab="1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 " sheetId="6" r:id="rId5"/>
  </sheets>
  <definedNames>
    <definedName name="_xlnm._FilterDatabase" localSheetId="1" hidden="1">'Raw Inventory'!$A$5:$R$160</definedName>
    <definedName name="_xlnm.Print_Area" localSheetId="1">'Raw Inventory'!$A$1:$S$71</definedName>
    <definedName name="_xlnm.Print_Area" localSheetId="3">'Stock Bal'!$L$2:$O$69</definedName>
    <definedName name="_xlnm.Print_Area" localSheetId="4">'Stock Bal_Audit '!$A$1:$D$58</definedName>
  </definedNames>
  <calcPr calcId="191029"/>
  <pivotCaches>
    <pivotCache cacheId="0" r:id="rId6"/>
    <pivotCache cacheId="6" r:id="rId7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154" i="1" l="1"/>
  <c r="O119" i="1"/>
  <c r="P158" i="1"/>
  <c r="P155" i="1"/>
  <c r="P156" i="1"/>
  <c r="P157" i="1"/>
  <c r="O139" i="1"/>
  <c r="P160" i="1"/>
  <c r="O160" i="1"/>
  <c r="M160" i="1"/>
  <c r="L160" i="1"/>
  <c r="O104" i="1"/>
  <c r="B160" i="1"/>
  <c r="C160" i="1"/>
  <c r="O134" i="1"/>
  <c r="L155" i="1"/>
  <c r="L156" i="1"/>
  <c r="L157" i="1"/>
  <c r="L154" i="1"/>
  <c r="B156" i="1"/>
  <c r="C156" i="1"/>
  <c r="B157" i="1"/>
  <c r="C157" i="1"/>
  <c r="B155" i="1"/>
  <c r="C155" i="1"/>
  <c r="O133" i="1"/>
  <c r="O137" i="1"/>
  <c r="O109" i="1"/>
  <c r="O91" i="1"/>
  <c r="O153" i="1"/>
  <c r="P153" i="1" s="1"/>
  <c r="O159" i="1"/>
  <c r="P159" i="1" s="1"/>
  <c r="O81" i="1"/>
  <c r="O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P154" i="1"/>
  <c r="B154" i="1"/>
  <c r="C154" i="1"/>
  <c r="O136" i="1"/>
  <c r="O128" i="1"/>
  <c r="O131" i="1"/>
  <c r="B153" i="1"/>
  <c r="C153" i="1"/>
  <c r="L153" i="1"/>
  <c r="B150" i="1"/>
  <c r="P152" i="1"/>
  <c r="B152" i="1"/>
  <c r="C152" i="1"/>
  <c r="L152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9" i="1"/>
  <c r="O125" i="1"/>
  <c r="O80" i="1" l="1"/>
  <c r="O108" i="1"/>
  <c r="O83" i="1"/>
  <c r="O124" i="1"/>
  <c r="O120" i="1" l="1"/>
  <c r="O115" i="1"/>
  <c r="O106" i="1" l="1"/>
  <c r="O86" i="1"/>
  <c r="O101" i="1"/>
  <c r="O48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100" i="1" l="1"/>
  <c r="O89" i="1"/>
  <c r="O47" i="1"/>
  <c r="O93" i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O46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65" i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<sst xmlns="http://schemas.openxmlformats.org/spreadsheetml/2006/main" count="1855" uniqueCount="546">
  <si>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</si>
  <si>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</si>
  <si>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</si>
  <si>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</si>
  <si>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</si>
  <si>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</si>
  <si>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</si>
  <si>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</si>
  <si>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</si>
  <si>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</si>
  <si>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</si>
  <si>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</si>
  <si>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</si>
  <si>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</si>
  <si>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</si>
  <si>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</si>
  <si>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</si>
  <si>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</si>
  <si>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</si>
  <si>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</si>
  <si>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</si>
  <si>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</si>
  <si>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</si>
  <si>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</si>
  <si>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</si>
  <si>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</si>
  <si>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</si>
  <si>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</si>
  <si>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</si>
  <si>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</si>
  <si>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</si>
  <si>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</si>
  <si>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</si>
  <si>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</si>
  <si>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</si>
  <si>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</si>
  <si>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</si>
  <si>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</si>
  <si>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</si>
  <si>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</si>
  <si>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</si>
  <si>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</si>
  <si>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</si>
  <si>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</si>
  <si>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</si>
  <si>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</si>
  <si>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</si>
  <si>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</si>
  <si>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</si>
  <si>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</si>
  <si>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</si>
  <si>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</si>
  <si>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</si>
  <si>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</si>
  <si>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</si>
  <si>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</si>
  <si>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</si>
  <si>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</si>
  <si>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</si>
  <si>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</si>
  <si>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</si>
  <si>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</si>
  <si>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</si>
  <si>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</si>
  <si>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</si>
  <si>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</si>
  <si>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</si>
  <si>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</si>
  <si>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</si>
  <si>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</si>
  <si>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</si>
  <si>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</si>
  <si>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</si>
  <si>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</si>
  <si>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</si>
  <si>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</si>
  <si>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</si>
  <si>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</si>
  <si>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</si>
  <si>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</si>
  <si>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</si>
  <si>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</si>
  <si>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</si>
  <si>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</si>
  <si>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</si>
  <si>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</si>
  <si>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</si>
  <si>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</si>
  <si>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</si>
  <si>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</si>
  <si>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</si>
  <si>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</si>
  <si>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</si>
  <si>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</si>
  <si>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</si>
  <si>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</si>
  <si>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</si>
  <si>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</si>
  <si>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</si>
  <si>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</si>
  <si>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</si>
  <si>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</si>
  <si>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</si>
  <si>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</si>
  <si>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</si>
  <si>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</si>
  <si>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</si>
  <si>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</si>
  <si>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</si>
  <si>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</si>
  <si>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</si>
  <si>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</si>
  <si>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</si>
  <si>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</si>
  <si>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</si>
  <si>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</si>
  <si>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</si>
  <si>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</si>
  <si>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</si>
  <si>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</si>
  <si>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</si>
  <si>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</si>
  <si>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</si>
  <si>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</si>
  <si>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</si>
  <si>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</si>
  <si>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</si>
  <si>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</si>
  <si>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</si>
  <si>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</si>
  <si>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</si>
  <si>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</si>
  <si>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</si>
  <si>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</si>
  <si>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</si>
  <si>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</si>
  <si>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</si>
  <si>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</si>
  <si>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</si>
  <si>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</si>
  <si>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</si>
  <si>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</si>
  <si>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</si>
  <si>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</si>
  <si>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</si>
  <si>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</si>
  <si>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</si>
  <si>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</si>
  <si>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</si>
  <si>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</si>
  <si>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</si>
  <si>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</si>
  <si>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</si>
  <si>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</si>
  <si>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</si>
  <si>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</si>
  <si>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</si>
  <si>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</si>
  <si>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</si>
  <si>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</si>
  <si>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</si>
  <si>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</si>
  <si>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</si>
  <si>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</si>
  <si>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</si>
  <si>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</si>
  <si>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</si>
  <si>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</si>
  <si>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</si>
  <si>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</si>
  <si>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</si>
  <si>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</si>
  <si>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</si>
  <si>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</si>
  <si>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</si>
  <si>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</si>
  <si>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</si>
  <si>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</si>
  <si>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</si>
  <si>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</si>
  <si>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</si>
  <si>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</si>
  <si>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</si>
  <si>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</si>
  <si>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</si>
  <si>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</si>
  <si>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</si>
  <si>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</si>
  <si>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</si>
  <si>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</si>
  <si>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</si>
  <si>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</si>
  <si>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</si>
  <si>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</si>
  <si>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</si>
  <si>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</si>
  <si>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</si>
  <si>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</si>
  <si>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</si>
  <si>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</si>
  <si>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</si>
  <si>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</si>
  <si>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</si>
  <si>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</si>
  <si>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</si>
  <si>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</si>
  <si>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</si>
  <si>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</si>
  <si>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</si>
  <si>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</si>
  <si>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</si>
  <si>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</si>
  <si>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</si>
  <si>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</si>
  <si>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</si>
  <si>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</si>
  <si>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</si>
  <si>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</si>
  <si>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</si>
  <si>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</si>
  <si>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</si>
  <si>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</si>
  <si>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</si>
  <si>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</si>
  <si>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</si>
  <si>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</si>
  <si>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</si>
  <si>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</si>
  <si>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</si>
  <si>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</si>
  <si>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</si>
  <si>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</si>
  <si>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</si>
  <si>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</si>
  <si>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AR Accelerator (4Kgs)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</si>
  <si>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</si>
  <si>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</si>
  <si>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</si>
  <si>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</si>
  <si>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</si>
  <si>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</si>
  <si>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</si>
  <si>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</si>
  <si>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</si>
  <si>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</si>
  <si>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</si>
  <si>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</si>
  <si>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</si>
  <si>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</si>
  <si>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</si>
  <si>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</si>
  <si>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</si>
  <si>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</si>
  <si>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</si>
  <si>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</si>
  <si>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DO53(1), DO75(1), DO77(1)</t>
  </si>
  <si>
    <t>24/11, 29/1, 3/2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</si>
  <si>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</si>
  <si>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</si>
  <si>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</si>
  <si>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</si>
  <si>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</si>
  <si>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</si>
  <si>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</si>
  <si>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</si>
  <si>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</si>
  <si>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</si>
  <si>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</si>
  <si>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</si>
  <si>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</si>
  <si>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</si>
  <si>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</si>
  <si>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</si>
  <si>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</si>
  <si>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</si>
  <si>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</si>
  <si>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</si>
  <si>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</si>
  <si>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</si>
  <si>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</si>
  <si>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</si>
  <si>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</si>
  <si>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</si>
  <si>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</si>
  <si>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</si>
  <si>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</si>
  <si>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</si>
  <si>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</si>
  <si>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</si>
  <si>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</si>
  <si>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</si>
  <si>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</si>
  <si>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</si>
  <si>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</si>
  <si>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</si>
  <si>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</si>
  <si>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</si>
  <si>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</si>
  <si>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</si>
  <si>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</si>
  <si>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</si>
  <si>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</si>
  <si>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</si>
  <si>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</si>
  <si>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</si>
  <si>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</si>
  <si>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</si>
  <si>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</si>
  <si>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</si>
  <si>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</si>
  <si>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</si>
  <si>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</si>
  <si>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</si>
  <si>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</si>
  <si>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</si>
  <si>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</si>
  <si>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</si>
  <si>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</si>
  <si>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</si>
  <si>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RE Frekote 770NC</t>
  </si>
  <si>
    <t>24/3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</si>
  <si>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</si>
  <si>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</si>
  <si>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</si>
  <si>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</si>
  <si>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</si>
  <si>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</si>
  <si>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</si>
  <si>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</si>
  <si>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</si>
  <si>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</si>
  <si>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</si>
  <si>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</si>
  <si>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</si>
  <si>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File for Audit as of 27/3/2021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</si>
  <si>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</si>
  <si>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</si>
  <si>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</si>
  <si>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</si>
  <si>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</si>
  <si>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</si>
  <si>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</si>
  <si>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</si>
  <si>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</si>
  <si>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</si>
  <si>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</si>
  <si>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DO46(1), DO54(8), DO55(2), DO98(6)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</si>
  <si>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</si>
  <si>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</si>
  <si>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</si>
  <si>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</si>
  <si>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</si>
  <si>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</si>
  <si>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</si>
  <si>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</si>
  <si>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</si>
  <si>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</si>
  <si>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</si>
  <si>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</si>
  <si>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</si>
  <si>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</si>
  <si>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</si>
  <si>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</si>
  <si>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</si>
  <si>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</si>
  <si>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</si>
  <si>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</si>
  <si>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</si>
  <si>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</si>
  <si>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</si>
  <si>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Bosny Wax (15Kg)</t>
  </si>
  <si>
    <t>29/4</t>
  </si>
  <si>
    <t>DO102(1)</t>
  </si>
  <si>
    <t xml:space="preserve">31/10, 20/11, 21/11, 8/4, 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</si>
  <si>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</si>
  <si>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</si>
  <si>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</si>
  <si>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</si>
  <si>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</si>
  <si>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</si>
  <si>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</si>
  <si>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</si>
  <si>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</si>
  <si>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</si>
  <si>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</si>
  <si>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</si>
  <si>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</si>
  <si>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</si>
  <si>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</si>
  <si>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</si>
  <si>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</si>
  <si>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24/3, 1/4, 21/5</t>
  </si>
  <si>
    <t>DO91(2), DO96(2), DO106(2)</t>
  </si>
  <si>
    <t>18/1, 24/2, 8/3, 11/3, 23/3, 21/5</t>
  </si>
  <si>
    <t>DO73(1), DO83(3), DO86(7), DO88(2),  DO90(4), DO89(1),</t>
  </si>
  <si>
    <t>3/2, 2/2, 9/2, 22/2, 24/2, 27/2, 23/3, 24/3, 21/5</t>
  </si>
  <si>
    <t>DO77(2), DO78(1), DO80(1), DO83(4), DO84(1), DO85(1), DO90(4), DO92(4), DO89(1)</t>
  </si>
  <si>
    <t>1/4, 8/4, 8/4, 29/4, 21/5</t>
  </si>
  <si>
    <t>8/4, 21/5</t>
  </si>
  <si>
    <t xml:space="preserve">DO98(4), DO89(1), </t>
  </si>
  <si>
    <t>00041684</t>
  </si>
  <si>
    <t>00041756</t>
  </si>
  <si>
    <t>00041777</t>
  </si>
  <si>
    <t>07435</t>
  </si>
  <si>
    <t>DO102(3), DO108(3)</t>
  </si>
  <si>
    <t>29/4, 1/6</t>
  </si>
  <si>
    <t>DO67(1), DO73(1), DO86(5), DO88(2), DO90(4), DO89(1), DO109(1)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</si>
  <si>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</si>
  <si>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</si>
  <si>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</si>
  <si>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</si>
  <si>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</si>
  <si>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</si>
  <si>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</si>
  <si>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</si>
  <si>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</si>
  <si>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</si>
  <si>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</si>
  <si>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</si>
  <si>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</si>
  <si>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</si>
  <si>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</si>
  <si>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</si>
  <si>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</si>
  <si>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</si>
  <si>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</si>
  <si>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</si>
  <si>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</si>
  <si>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8/1, 18/2, 3/2, 21/5, 14/9</t>
  </si>
  <si>
    <t xml:space="preserve">DO72(2), DO73(2), DO77(4), DO89(2), DO117(1) </t>
  </si>
  <si>
    <t>1/4, 3/5, 1/6, 1/9, 14/9</t>
  </si>
  <si>
    <t>DO95(1), DO101(4), DO109(4), DO115(4), DO117(1)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</si>
  <si>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</si>
  <si>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</si>
  <si>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</si>
  <si>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</si>
  <si>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</si>
  <si>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</si>
  <si>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1/6, 1/9, 27/9</t>
  </si>
  <si>
    <t>DO109(3), DO115(4), DO121(4)</t>
  </si>
  <si>
    <t>DO118(4), DO119(3), DO121(1)</t>
  </si>
  <si>
    <t>14/9, 21/9, 27/9</t>
  </si>
  <si>
    <t>DO114(1), DO117(3), DO119(4), DO120(1), DO122(1)</t>
  </si>
  <si>
    <t>1/9, 14/9, 21/9, 25/9, 28/9</t>
  </si>
  <si>
    <t>27/4, 3/5, 2/10</t>
  </si>
  <si>
    <t>DO100(5), DO101(4), DO125(1)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</si>
  <si>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</si>
  <si>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</si>
  <si>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</si>
  <si>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</si>
  <si>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</si>
  <si>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</si>
  <si>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</si>
  <si>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</si>
  <si>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</si>
  <si>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</si>
  <si>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</si>
  <si>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</si>
  <si>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</si>
  <si>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</si>
  <si>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</si>
  <si>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</si>
  <si>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</si>
  <si>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</si>
  <si>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</si>
  <si>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</si>
  <si>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</si>
  <si>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</si>
  <si>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</si>
  <si>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13/10</t>
  </si>
  <si>
    <t>DO133(2)</t>
  </si>
  <si>
    <t>DO133(1)</t>
  </si>
  <si>
    <t>14/10</t>
  </si>
  <si>
    <t>DO134(6)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</si>
  <si>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</si>
  <si>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</si>
  <si>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</si>
  <si>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</si>
  <si>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</si>
  <si>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</si>
  <si>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</si>
  <si>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</si>
  <si>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</si>
  <si>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</si>
  <si>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</si>
  <si>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</si>
  <si>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</si>
  <si>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</si>
  <si>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</si>
  <si>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</si>
  <si>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</si>
  <si>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</si>
  <si>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</si>
  <si>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</si>
  <si>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</si>
  <si>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</si>
  <si>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</si>
  <si>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</si>
  <si>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</si>
  <si>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</si>
  <si>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</si>
  <si>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</si>
  <si>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</si>
  <si>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</si>
  <si>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</si>
  <si>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</si>
  <si>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</si>
  <si>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</si>
  <si>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</si>
  <si>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</si>
  <si>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26/10</t>
  </si>
  <si>
    <t>5/10, 14/10, 15/10, 26/10</t>
  </si>
  <si>
    <t>DO126(1), DO134(1), DO137(1), DO143(4)</t>
  </si>
  <si>
    <t>DO126(1), DO134(1), DO137(1) *Ex Stock (3)</t>
  </si>
  <si>
    <t>11/1, 26/10</t>
  </si>
  <si>
    <t>DO70(6kg), DO143(5kg)</t>
  </si>
  <si>
    <t>DO144(9)</t>
  </si>
  <si>
    <t>19/10, 26/10</t>
  </si>
  <si>
    <t>DO140(1), DO144(1)</t>
  </si>
  <si>
    <t>7/5, 14/9, 21/9, 26/10</t>
  </si>
  <si>
    <t>DO104(4), DO118(5), DO119(10), DO144(1)</t>
  </si>
  <si>
    <t>15/10, 23/10, 26/10</t>
  </si>
  <si>
    <t>DO136(2), DO142(2), DO145(1)</t>
  </si>
  <si>
    <t>26/10, 26/10, 26/10</t>
  </si>
  <si>
    <t>DO143(2), DO144(2), DO146(3)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</si>
  <si>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</si>
  <si>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</si>
  <si>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</si>
  <si>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</si>
  <si>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</si>
  <si>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28/10</t>
  </si>
  <si>
    <t>DO147(3)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</si>
  <si>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</si>
  <si>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</si>
  <si>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</si>
  <si>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</si>
  <si>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</si>
  <si>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DO148(1)</t>
  </si>
  <si>
    <t>DO147(2), DO149(4)</t>
  </si>
  <si>
    <t>28/10, 30/10</t>
  </si>
  <si>
    <t>30/10</t>
  </si>
  <si>
    <t>DO149(4)</t>
  </si>
  <si>
    <t>1/6, 14/9, 14/9, 2/10, 5/10, 7/10, 11/10, 15/10, 18/10, 26/10, 30/10</t>
  </si>
  <si>
    <t>DO111(1), DO117(4), DO118(10), DO125(3), DO127(5), DO128(6), DO131(2), DO136(1), DO139(7), DO144(6), DO149(10)</t>
  </si>
  <si>
    <t>20/10, 30/10</t>
  </si>
  <si>
    <t>DO141(1), DO149(4)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</si>
</sst>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38">
    <xf numFmtId="0" fontId="0" fillId="0" borderId="0" xfId="0"/>
    <xf numFmtId="0" fontId="0" fillId="0" borderId="3" xfId="0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Border="1"/>
    <xf numFmtId="0" fontId="0" fillId="0" borderId="0" xfId="0" applyBorder="1"/>
    <xf numFmtId="0" fontId="0" fillId="0" borderId="6" xfId="0" applyBorder="1" applyAlignment="1">
      <alignment horizontal="center"/>
    </xf>
    <xf numFmtId="0" fontId="2" fillId="0" borderId="0" xfId="0" applyFont="1" applyBorder="1"/>
    <xf numFmtId="43" fontId="2" fillId="0" borderId="4" xfId="1" applyFont="1" applyBorder="1"/>
    <xf numFmtId="0" fontId="0" fillId="0" borderId="1" xfId="0" applyFill="1" applyBorder="1" applyAlignment="1">
      <alignment horizontal="center" wrapText="1"/>
    </xf>
    <xf numFmtId="0" fontId="0" fillId="2" borderId="2" xfId="0" applyFill="1" applyBorder="1"/>
    <xf numFmtId="0" fontId="2" fillId="0" borderId="0" xfId="0" applyFont="1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Font="1" applyFill="1" applyBorder="1"/>
    <xf numFmtId="0" fontId="0" fillId="0" borderId="4" xfId="0" applyFont="1" applyFill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Fill="1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0" fillId="0" borderId="0" xfId="0" applyFill="1" applyBorder="1"/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Fill="1" applyBorder="1"/>
    <xf numFmtId="0" fontId="0" fillId="0" borderId="4" xfId="0" applyFill="1" applyBorder="1"/>
    <xf numFmtId="0" fontId="0" fillId="0" borderId="0" xfId="0" applyFill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0" fillId="0" borderId="4" xfId="0" applyFill="1" applyBorder="1" applyAlignment="1">
      <alignment wrapText="1"/>
    </xf>
    <xf numFmtId="0" fontId="0" fillId="0" borderId="6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2" fillId="0" borderId="0" xfId="0" applyNumberFormat="1" applyFont="1" applyBorder="1" applyAlignment="1">
      <alignment horizontal="center"/>
    </xf>
    <xf numFmtId="0" fontId="0" fillId="0" borderId="0" xfId="0" applyNumberFormat="1" applyBorder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4" xfId="0" applyNumberFormat="1" applyFont="1" applyFill="1" applyBorder="1" applyAlignment="1">
      <alignment horizontal="left" wrapText="1"/>
    </xf>
    <xf numFmtId="14" fontId="2" fillId="0" borderId="0" xfId="0" applyNumberFormat="1" applyFont="1" applyBorder="1" applyAlignment="1">
      <alignment horizontal="left" wrapText="1"/>
    </xf>
    <xf numFmtId="14" fontId="2" fillId="0" borderId="0" xfId="0" applyNumberFormat="1" applyFont="1" applyFill="1" applyBorder="1" applyAlignment="1">
      <alignment horizontal="left" wrapText="1"/>
    </xf>
    <xf numFmtId="14" fontId="0" fillId="0" borderId="0" xfId="0" applyNumberFormat="1" applyFont="1" applyBorder="1" applyAlignment="1">
      <alignment horizontal="left" wrapText="1"/>
    </xf>
    <xf numFmtId="0" fontId="0" fillId="0" borderId="0" xfId="0" pivotButton="1"/>
    <xf numFmtId="0" fontId="0" fillId="0" borderId="0" xfId="0" applyNumberFormat="1"/>
    <xf numFmtId="0" fontId="0" fillId="2" borderId="0" xfId="0" applyFill="1"/>
    <xf numFmtId="0" fontId="0" fillId="2" borderId="0" xfId="0" applyNumberFormat="1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2" fillId="0" borderId="7" xfId="0" applyFont="1" applyFill="1" applyBorder="1"/>
    <xf numFmtId="0" fontId="0" fillId="0" borderId="7" xfId="0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Border="1" applyAlignment="1">
      <alignment horizontal="left" wrapText="1"/>
    </xf>
    <xf numFmtId="0" fontId="0" fillId="0" borderId="0" xfId="0" applyNumberFormat="1" applyFill="1"/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Font="1" applyBorder="1" applyAlignment="1">
      <alignment horizontal="left" wrapText="1"/>
    </xf>
    <xf numFmtId="0" fontId="6" fillId="0" borderId="0" xfId="0" applyFont="1" applyAlignment="1">
      <alignment wrapText="1"/>
    </xf>
    <xf numFmtId="16" fontId="0" fillId="0" borderId="2" xfId="0" quotePrefix="1" applyNumberFormat="1" applyFill="1" applyBorder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NumberFormat="1" applyBorder="1" applyAlignment="1">
      <alignment horizontal="center"/>
    </xf>
    <xf numFmtId="0" fontId="0" fillId="0" borderId="3" xfId="0" applyNumberFormat="1" applyBorder="1" applyAlignment="1">
      <alignment horizontal="center"/>
    </xf>
    <xf numFmtId="0" fontId="2" fillId="0" borderId="4" xfId="0" applyNumberFormat="1" applyFont="1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Fill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Fill="1" applyBorder="1" applyAlignment="1">
      <alignment wrapText="1"/>
    </xf>
    <xf numFmtId="0" fontId="10" fillId="5" borderId="0" xfId="0" applyFont="1" applyFill="1"/>
    <xf numFmtId="0" fontId="10" fillId="0" borderId="0" xfId="0" applyFont="1" applyFill="1"/>
    <xf numFmtId="0" fontId="0" fillId="7" borderId="0" xfId="0" applyFill="1"/>
    <xf numFmtId="0" fontId="0" fillId="7" borderId="0" xfId="0" applyNumberFormat="1" applyFill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NumberFormat="1" applyFont="1" applyBorder="1" applyAlignment="1">
      <alignment horizontal="center"/>
    </xf>
    <xf numFmtId="0" fontId="11" fillId="0" borderId="4" xfId="0" applyNumberFormat="1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4" xfId="0" applyNumberFormat="1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NumberFormat="1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0" fontId="8" fillId="0" borderId="4" xfId="0" applyFont="1" applyFill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Fill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0" xfId="0" applyFont="1" applyBorder="1"/>
    <xf numFmtId="0" fontId="8" fillId="0" borderId="7" xfId="0" applyFont="1" applyBorder="1"/>
    <xf numFmtId="14" fontId="2" fillId="0" borderId="4" xfId="0" applyNumberFormat="1" applyFont="1" applyBorder="1" applyAlignment="1">
      <alignment wrapText="1"/>
    </xf>
    <xf numFmtId="14" fontId="2" fillId="0" borderId="4" xfId="0" applyNumberFormat="1" applyFont="1" applyBorder="1" applyAlignment="1"/>
    <xf numFmtId="14" fontId="0" fillId="0" borderId="4" xfId="0" applyNumberFormat="1" applyBorder="1" applyAlignment="1"/>
    <xf numFmtId="49" fontId="0" fillId="3" borderId="4" xfId="0" quotePrefix="1" applyNumberFormat="1" applyFill="1" applyBorder="1" applyAlignment="1"/>
    <xf numFmtId="14" fontId="2" fillId="0" borderId="4" xfId="0" applyNumberFormat="1" applyFont="1" applyFill="1" applyBorder="1" applyAlignment="1"/>
    <xf numFmtId="0" fontId="0" fillId="0" borderId="4" xfId="0" applyBorder="1" applyAlignment="1"/>
    <xf numFmtId="0" fontId="0" fillId="3" borderId="4" xfId="0" applyFill="1" applyBorder="1" applyAlignment="1"/>
    <xf numFmtId="0" fontId="0" fillId="0" borderId="4" xfId="0" quotePrefix="1" applyBorder="1" applyAlignment="1"/>
    <xf numFmtId="0" fontId="0" fillId="0" borderId="7" xfId="0" quotePrefix="1" applyBorder="1" applyAlignment="1"/>
    <xf numFmtId="0" fontId="8" fillId="0" borderId="4" xfId="0" quotePrefix="1" applyFont="1" applyBorder="1" applyAlignment="1"/>
    <xf numFmtId="14" fontId="11" fillId="0" borderId="4" xfId="0" applyNumberFormat="1" applyFont="1" applyFill="1" applyBorder="1" applyAlignment="1"/>
    <xf numFmtId="0" fontId="8" fillId="0" borderId="7" xfId="0" quotePrefix="1" applyFont="1" applyBorder="1" applyAlignment="1"/>
    <xf numFmtId="0" fontId="8" fillId="0" borderId="7" xfId="0" applyFont="1" applyBorder="1" applyAlignment="1"/>
    <xf numFmtId="0" fontId="8" fillId="0" borderId="4" xfId="0" applyFont="1" applyBorder="1" applyAlignment="1"/>
    <xf numFmtId="14" fontId="11" fillId="0" borderId="4" xfId="0" applyNumberFormat="1" applyFont="1" applyBorder="1" applyAlignment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Border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8" borderId="0" xfId="0" applyFill="1"/>
    <xf numFmtId="4" fontId="0" fillId="8" borderId="0" xfId="0" applyNumberFormat="1" applyFill="1"/>
    <xf numFmtId="0" fontId="8" fillId="0" borderId="4" xfId="0" applyFont="1" applyFill="1" applyBorder="1" applyAlignment="1">
      <alignment wrapText="1"/>
    </xf>
  </cellXfs>
  <cellStyles count="3">
    <cellStyle name="Comma" xfId="1" builtinId="3"/>
    <cellStyle name="Normal" xfId="0" builtinId="0"/>
    <cellStyle name="Percent" xfId="2" builtinId="5"/>
  </cellStyles>
  <dxfs count="22">
    <dxf>
      <fill>
        <patternFill patternType="solid">
          <bgColor rgb="FFCCFFCC"/>
        </patternFill>
      </fill>
    </dxf>
    <dxf>
      <fill>
        <patternFill patternType="solid">
          <bgColor rgb="FFFFFFFF"/>
        </patternFill>
      </fill>
    </dxf>
    <dxf>
      <fill>
        <patternFill>
          <bgColor rgb="FF99FFCC"/>
        </patternFill>
      </fill>
    </dxf>
    <dxf>
      <fill>
        <patternFill patternType="solid">
          <bgColor rgb="FFFFFF66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theme="5" tint="0.59999389629810485"/>
        </patternFill>
      </fill>
    </dxf>
    <dxf>
      <fill>
        <patternFill patternType="solid">
          <bgColor rgb="FFFFC000"/>
        </patternFill>
      </fill>
    </dxf>
    <dxf>
      <fill>
        <patternFill>
          <bgColor rgb="FF00B050"/>
        </patternFill>
      </fill>
    </dxf>
    <dxf>
      <fill>
        <patternFill patternType="none">
          <bgColor auto="1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66FF99"/>
      <color rgb="FF99FF99"/>
      <color rgb="FF99FFCC"/>
      <color rgb="FFCCFFCC"/>
      <color rgb="FFFFFF66"/>
      <color rgb="FFFFFFFF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69.emf"/><Relationship Id="rId2" Type="http://schemas.openxmlformats.org/officeDocument/2006/relationships/image" Target="../media/image68.emf"/><Relationship Id="rId1" Type="http://schemas.openxmlformats.org/officeDocument/2006/relationships/image" Target="../media/image67.emf"/><Relationship Id="rId4" Type="http://schemas.openxmlformats.org/officeDocument/2006/relationships/image" Target="../media/image70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336550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431800</xdr:colOff>
          <xdr:row>13</xdr:row>
          <xdr:rowOff>412750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596900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323850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311150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431800</xdr:colOff>
          <xdr:row>27</xdr:row>
          <xdr:rowOff>311150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431800</xdr:colOff>
          <xdr:row>30</xdr:row>
          <xdr:rowOff>317500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25400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412750</xdr:colOff>
          <xdr:row>33</xdr:row>
          <xdr:rowOff>482600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431800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317500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501650</xdr:colOff>
          <xdr:row>48</xdr:row>
          <xdr:rowOff>177800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508000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412750</xdr:colOff>
          <xdr:row>52</xdr:row>
          <xdr:rowOff>412750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285750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349250</xdr:colOff>
          <xdr:row>54</xdr:row>
          <xdr:rowOff>349250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431800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323850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25400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717550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304800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374650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577850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412750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349250</xdr:colOff>
          <xdr:row>69</xdr:row>
          <xdr:rowOff>279400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79</xdr:row>
          <xdr:rowOff>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412750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88900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304800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400050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431800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349250</xdr:colOff>
          <xdr:row>92</xdr:row>
          <xdr:rowOff>304800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93</xdr:row>
          <xdr:rowOff>139700</xdr:rowOff>
        </xdr:from>
        <xdr:to>
          <xdr:col>19</xdr:col>
          <xdr:colOff>349250</xdr:colOff>
          <xdr:row>94</xdr:row>
          <xdr:rowOff>31750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95</xdr:row>
          <xdr:rowOff>50800</xdr:rowOff>
        </xdr:from>
        <xdr:to>
          <xdr:col>19</xdr:col>
          <xdr:colOff>304800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374650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349250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184150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279400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285750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349250</xdr:colOff>
          <xdr:row>26</xdr:row>
          <xdr:rowOff>304800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311150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177800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355600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76200</xdr:colOff>
          <xdr:row>105</xdr:row>
          <xdr:rowOff>171450</xdr:rowOff>
        </xdr:from>
        <xdr:to>
          <xdr:col>19</xdr:col>
          <xdr:colOff>311150</xdr:colOff>
          <xdr:row>105</xdr:row>
          <xdr:rowOff>349250</xdr:rowOff>
        </xdr:to>
        <xdr:sp macro="" textlink="">
          <xdr:nvSpPr>
            <xdr:cNvPr id="2102" name="Object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101600</xdr:rowOff>
        </xdr:from>
        <xdr:to>
          <xdr:col>19</xdr:col>
          <xdr:colOff>336550</xdr:colOff>
          <xdr:row>107</xdr:row>
          <xdr:rowOff>304800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304800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323850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349250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152400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431800</xdr:colOff>
          <xdr:row>120</xdr:row>
          <xdr:rowOff>1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279400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431800</xdr:colOff>
          <xdr:row>121</xdr:row>
          <xdr:rowOff>177800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431800</xdr:colOff>
          <xdr:row>120</xdr:row>
          <xdr:rowOff>304800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273050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431800</xdr:colOff>
          <xdr:row>128</xdr:row>
          <xdr:rowOff>273050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184150</xdr:colOff>
          <xdr:row>130</xdr:row>
          <xdr:rowOff>82550</xdr:rowOff>
        </xdr:from>
        <xdr:to>
          <xdr:col>19</xdr:col>
          <xdr:colOff>450850</xdr:colOff>
          <xdr:row>130</xdr:row>
          <xdr:rowOff>279400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412750</xdr:colOff>
          <xdr:row>131</xdr:row>
          <xdr:rowOff>279400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463550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497.075010995373" createdVersion="7" refreshedVersion="7" minRefreshableVersion="3" recordCount="151" xr:uid="{7F7FC082-83CB-4CB0-A7CE-7C3B0C1CFB80}">
  <cacheSource type="worksheet">
    <worksheetSource ref="A5:R159" sheet="Raw Inventory"/>
  </cacheSource>
  <cacheFields count="18">
    <cacheField name="Date" numFmtId="14">
      <sharedItems containsDate="1" containsMixedTypes="1" minDate="2019-12-19T00:00:00" maxDate="2021-10-27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1" count="3">
        <n v="2019"/>
        <n v="2020"/>
        <n v="2021"/>
      </sharedItems>
    </cacheField>
    <cacheField name="Invoice No" numFmtId="0">
      <sharedItems containsBlank="1" containsMixedTypes="1" containsNumber="1" containsInteger="1" minValue="13101" maxValue="100620" count="78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535"/>
        <s v="00001095"/>
        <s v="00042565"/>
        <s v="00042591"/>
        <s v="00042601"/>
      </sharedItems>
    </cacheField>
    <cacheField name="Supplier" numFmtId="0">
      <sharedItems containsBlank="1" count="13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</sharedItems>
    </cacheField>
    <cacheField name="Product Code" numFmtId="0">
      <sharedItems/>
    </cacheField>
    <cacheField name="Product Code 2" numFmtId="0">
      <sharedItems count="62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  <s v="RF Resin 3317AW (220Kg)"/>
        <s v="RF Nor 3338NW (220Kg)"/>
        <s v="RF Nor 3338W (220Kg)"/>
        <s v="RG CSM 450 CQ 54kg 64m(L) X 1860mm(W)"/>
        <s v="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534871.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45"/>
    </cacheField>
    <cacheField name="Stock Balance" numFmtId="0">
      <sharedItems containsSemiMixedTypes="0" containsString="0" containsNumber="1" containsInteger="1" minValue="0" maxValue="35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4499.004694791663" createdVersion="7" refreshedVersion="7" minRefreshableVersion="3" recordCount="155" xr:uid="{BD6E2088-C2A0-4FF7-B5CC-A2706850B207}">
  <cacheSource type="worksheet">
    <worksheetSource ref="A5:R160" sheet="Raw Inventory"/>
  </cacheSource>
  <cacheFields count="18">
    <cacheField name="Date" numFmtId="14">
      <sharedItems containsDate="1" containsMixedTypes="1" minDate="2019-12-19T00:00:00" maxDate="2021-10-29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1" count="3">
        <n v="2019"/>
        <n v="2020"/>
        <n v="2021"/>
      </sharedItems>
    </cacheField>
    <cacheField name="Invoice No" numFmtId="0">
      <sharedItems containsBlank="1" containsMixedTypes="1" containsNumber="1" containsInteger="1" minValue="13101" maxValue="100620" count="80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00041756"/>
        <s v="00041777"/>
        <s v="07435"/>
        <s v="00042535"/>
        <s v="00001095"/>
        <s v="00042565"/>
        <s v="00042591"/>
        <s v="00042601"/>
        <s v="I-000500"/>
        <s v="00004281"/>
      </sharedItems>
    </cacheField>
    <cacheField name="Supplier" numFmtId="0">
      <sharedItems containsBlank="1" count="13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</sharedItems>
    </cacheField>
    <cacheField name="Product Code" numFmtId="0">
      <sharedItems/>
    </cacheField>
    <cacheField name="Product Code 2" numFmtId="0">
      <sharedItems count="64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AR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"/>
        <s v="RA Resin 9539NW (225Kg)"/>
        <s v="RF Resin 3317AW (220Kg)"/>
        <s v="RF Nor 3338NW (220Kg)"/>
        <s v="RF Nor 3338W (220Kg)"/>
        <s v="RG CSM 450 CQ 54kg 64m(L) X 1860mm(W)"/>
        <s v="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3000"/>
    </cacheField>
    <cacheField name="Cumulative (RM)" numFmtId="43">
      <sharedItems containsSemiMixedTypes="0" containsString="0" containsNumber="1" minValue="6131.25" maxValue="571074.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55"/>
    </cacheField>
    <cacheField name="Stock Balance" numFmtId="0">
      <sharedItems containsSemiMixedTypes="0" containsString="0" containsNumber="1" containsInteger="1" minValue="0" maxValue="25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51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"/>
    <n v="17"/>
    <n v="3"/>
    <s v="DO46(1), DO54(8), DO55(2), DO98(6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"/>
    <n v="18"/>
    <n v="2"/>
    <s v="DO73(1), DO83(3), DO86(7), DO88(2),  DO90(4), DO89(1),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"/>
    <n v="11"/>
    <n v="1"/>
    <s v="DO72(2), DO73(2), DO77(4), DO89(2), DO117(1) 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"/>
    <n v="6"/>
    <n v="6"/>
    <s v="DO91(2), DO96(2), DO106(2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"/>
    <n v="5"/>
    <n v="15"/>
    <s v="DO98(4), DO89(1), 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"/>
    <x v="42"/>
    <s v="Ex"/>
    <n v="4"/>
    <s v="Tin"/>
    <n v="305"/>
    <n v="1220"/>
    <n v="282998.5"/>
    <s v="21/5, 2/10"/>
    <n v="3"/>
    <n v="1"/>
    <s v="DO89(1), DO125(2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24/3"/>
    <n v="2"/>
    <n v="0"/>
    <s v="DO89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"/>
    <n v="14"/>
    <n v="2"/>
    <s v="DO95(1), DO101(4), DO109(4), DO115(4), DO117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"/>
    <n v="45"/>
    <n v="35"/>
    <s v="DO111(1), DO117(4), DO118(10), DO125(3), DO127(5), DO128(6), DO131(2), DO136(1), DO139(7), DO144(6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"/>
    <n v="10"/>
    <n v="0"/>
    <s v="DO100(5), DO101(4), DO125(1)"/>
    <m/>
  </r>
  <r>
    <d v="2021-04-28T00:00:00"/>
    <x v="10"/>
    <x v="2"/>
    <x v="68"/>
    <x v="9"/>
    <s v="Bosny Wax (15Kg)"/>
    <x v="48"/>
    <s v="Ex"/>
    <n v="2"/>
    <s v="Pail"/>
    <n v="320"/>
    <n v="640"/>
    <n v="356142.7"/>
    <s v="29/4"/>
    <n v="1"/>
    <n v="1"/>
    <s v="DO102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"/>
    <n v="11"/>
    <n v="5"/>
    <s v="DO109(3), DO115(4), DO121(4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28"/>
    <x v="0"/>
    <s v="RA Nor 3338W (220Kg)"/>
    <x v="9"/>
    <s v="Delivered"/>
    <n v="12"/>
    <s v="Drum"/>
    <n v="1617"/>
    <n v="19404"/>
    <n v="451022.9"/>
    <s v="13/10, 18/10, 20/10"/>
    <n v="7"/>
    <n v="5"/>
    <s v="DO133(2), DO139(2-1*), DO141(3-2*)"/>
    <s v="G-FRP(3)*"/>
  </r>
  <r>
    <d v="2021-09-29T00:00:00"/>
    <x v="4"/>
    <x v="2"/>
    <x v="28"/>
    <x v="0"/>
    <s v="RA CSM 450 TWL 37kg 79m(L) X 1040mm(W)"/>
    <x v="51"/>
    <s v="Delivered"/>
    <n v="32"/>
    <s v="Roll"/>
    <n v="281.2"/>
    <n v="8998.4"/>
    <n v="460021.30000000005"/>
    <s v="20/10, 26/10, 26/10"/>
    <n v="28"/>
    <n v="4"/>
    <s v="DO141(6), DO143(8), DO144(14)"/>
    <m/>
  </r>
  <r>
    <d v="2021-09-29T00:00:00"/>
    <x v="4"/>
    <x v="2"/>
    <x v="28"/>
    <x v="0"/>
    <s v="RA Aerosil (Silica Fume) (10Kg)"/>
    <x v="32"/>
    <s v="Delivered"/>
    <n v="2"/>
    <s v="Bag"/>
    <n v="290"/>
    <n v="580"/>
    <n v="460601.30000000005"/>
    <s v="13/10"/>
    <n v="1"/>
    <n v="1"/>
    <s v="DO133(1)"/>
    <m/>
  </r>
  <r>
    <d v="2021-09-29T00:00:00"/>
    <x v="4"/>
    <x v="2"/>
    <x v="28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28"/>
    <x v="0"/>
    <s v="RA Resin 3317AW (220Kg)"/>
    <x v="17"/>
    <s v="Delivered"/>
    <n v="10"/>
    <s v="Drum"/>
    <n v="1650"/>
    <n v="16500"/>
    <n v="477821.30000000005"/>
    <s v="26/10, 26/10, 26/10"/>
    <n v="7"/>
    <n v="3"/>
    <s v="DO143(2), DO144(2), DO146(3)"/>
    <m/>
  </r>
  <r>
    <d v="2021-10-04T00:00:00"/>
    <x v="5"/>
    <x v="2"/>
    <x v="28"/>
    <x v="8"/>
    <s v="RG CSM 450 CQ 54kg 64m(L) X 1860mm(W)"/>
    <x v="47"/>
    <s v="Ex"/>
    <n v="10"/>
    <s v="Roll"/>
    <n v="432"/>
    <n v="4320"/>
    <n v="482141.30000000005"/>
    <s v="13/10"/>
    <n v="2"/>
    <n v="8"/>
    <s v="DO133(2)"/>
    <m/>
  </r>
  <r>
    <d v="2021-10-07T00:00:00"/>
    <x v="5"/>
    <x v="2"/>
    <x v="73"/>
    <x v="0"/>
    <s v="RA CSM 450 TWL 37kg 79m(L) X 1040mm(W)"/>
    <x v="51"/>
    <s v="Delivered"/>
    <n v="25"/>
    <s v="Roll"/>
    <n v="281.2"/>
    <n v="7030"/>
    <n v="489171.30000000005"/>
    <m/>
    <m/>
    <n v="25"/>
    <m/>
    <m/>
  </r>
  <r>
    <d v="2021-10-08T00:00:00"/>
    <x v="5"/>
    <x v="2"/>
    <x v="74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5"/>
    <x v="0"/>
    <s v="RA Resin SHCP268W (225kg)"/>
    <x v="54"/>
    <s v="Ex"/>
    <n v="4"/>
    <s v="Drum"/>
    <n v="1676.25"/>
    <n v="6705"/>
    <n v="496676.30000000005"/>
    <s v="12/10"/>
    <n v="4"/>
    <n v="0"/>
    <s v="DO132(4)"/>
    <m/>
  </r>
  <r>
    <d v="2021-10-12T00:00:00"/>
    <x v="5"/>
    <x v="2"/>
    <x v="75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5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5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5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28"/>
    <x v="11"/>
    <s v="RJ Nor 3338W (220Kg)"/>
    <x v="56"/>
    <s v="Ex"/>
    <n v="4"/>
    <s v="Drum"/>
    <n v="1760"/>
    <n v="7040"/>
    <n v="508239.30000000005"/>
    <s v="26/10"/>
    <n v="2"/>
    <n v="2"/>
    <s v="DO144(2)"/>
    <m/>
  </r>
  <r>
    <d v="2021-10-14T00:00:00"/>
    <x v="5"/>
    <x v="2"/>
    <x v="28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28"/>
    <x v="11"/>
    <s v="RJ TR104 Hi Temp Wax"/>
    <x v="58"/>
    <s v="Ex"/>
    <n v="12"/>
    <s v="Tin"/>
    <n v="40"/>
    <n v="480"/>
    <n v="513399.30000000005"/>
    <s v="14/10"/>
    <n v="6"/>
    <n v="6"/>
    <s v="DO134(6)"/>
    <m/>
  </r>
  <r>
    <d v="2021-10-15T00:00:00"/>
    <x v="5"/>
    <x v="2"/>
    <x v="76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77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8(2)"/>
    <m/>
  </r>
  <r>
    <d v="2021-10-15T00:00:00"/>
    <x v="5"/>
    <x v="2"/>
    <x v="77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28"/>
    <x v="11"/>
    <s v="RJ Woven Roving E-600 (45kg) 1120mm"/>
    <x v="60"/>
    <s v="Ex"/>
    <n v="9"/>
    <s v="Roll"/>
    <n v="288"/>
    <n v="2592"/>
    <n v="518681.50000000006"/>
    <s v="18/10"/>
    <n v="9"/>
    <n v="0"/>
    <s v="DO139(9)"/>
    <m/>
  </r>
  <r>
    <d v="2021-10-19T00:00:00"/>
    <x v="5"/>
    <x v="2"/>
    <x v="28"/>
    <x v="12"/>
    <s v="RK Smooth Cream (25kg)"/>
    <x v="61"/>
    <s v="Ex"/>
    <n v="12"/>
    <s v="Pail"/>
    <n v="700"/>
    <n v="8400"/>
    <n v="527081.5"/>
    <s v="19/10, 26/10"/>
    <n v="2"/>
    <n v="10"/>
    <s v="DO140(1), DO144(1)"/>
    <m/>
  </r>
  <r>
    <d v="2021-10-20T00:00:00"/>
    <x v="5"/>
    <x v="2"/>
    <x v="28"/>
    <x v="0"/>
    <s v="RA Mepoxe M (5kg)"/>
    <x v="36"/>
    <s v="Ex"/>
    <n v="16"/>
    <s v="Bottle"/>
    <n v="65"/>
    <n v="1040"/>
    <n v="528121.5"/>
    <s v="20/10"/>
    <n v="1"/>
    <n v="15"/>
    <s v="DO141(1)"/>
    <m/>
  </r>
  <r>
    <d v="2021-10-26T00:00:00"/>
    <x v="5"/>
    <x v="2"/>
    <x v="28"/>
    <x v="0"/>
    <s v="RA Butanox M50 (5kg)"/>
    <x v="7"/>
    <s v="Ex"/>
    <n v="12"/>
    <s v="Bottle"/>
    <n v="82.5"/>
    <n v="990"/>
    <n v="529111.5"/>
    <s v="5/10, 14/10, 15/10, 26/10"/>
    <n v="7"/>
    <n v="5"/>
    <s v="DO126(1), DO134(1), DO137(1), DO143(4)"/>
    <s v="DO126(1), DO134(1), DO137(1) *Ex Stock (3)"/>
  </r>
  <r>
    <d v="2021-10-26T00:00:00"/>
    <x v="5"/>
    <x v="2"/>
    <x v="28"/>
    <x v="0"/>
    <s v="RA Woven Roving E-600 (45kg) 1120mm"/>
    <x v="55"/>
    <s v="Ex"/>
    <n v="20"/>
    <s v="Roll"/>
    <n v="288"/>
    <n v="5760"/>
    <n v="534871.5"/>
    <s v="26/10"/>
    <n v="9"/>
    <n v="11"/>
    <s v="DO144(9)"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55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Bottle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"/>
    <n v="17"/>
    <n v="3"/>
    <s v="DO46(1), DO54(8), DO55(2), DO98(6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"/>
    <n v="18"/>
    <n v="2"/>
    <s v="DO73(1), DO83(3), DO86(7), DO88(2),  DO90(4), DO89(1),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"/>
    <n v="4"/>
    <n v="6"/>
    <s v="DO53(1), DO75(1), DO77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AR Accelerator (4Kgs)"/>
    <x v="33"/>
    <s v="Delivered"/>
    <n v="1"/>
    <s v="Bottle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"/>
    <n v="11"/>
    <n v="1"/>
    <s v="DO72(2), DO73(2), DO77(4), DO89(2), DO117(1) 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"/>
    <n v="6"/>
    <n v="6"/>
    <s v="DO91(2), DO96(2), DO106(2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2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8"/>
    <x v="0"/>
    <s v="AR Accelerator (4Kgs)"/>
    <x v="33"/>
    <s v="Ex"/>
    <n v="1"/>
    <s v="Bottle"/>
    <n v="240"/>
    <n v="240"/>
    <n v="249350.5"/>
    <s v="24/2"/>
    <n v="1"/>
    <n v="0"/>
    <s v="DO83(1)"/>
    <m/>
  </r>
  <r>
    <d v="2021-02-26T00:00:00"/>
    <x v="8"/>
    <x v="2"/>
    <x v="49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49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0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1"/>
    <x v="4"/>
    <s v="RD Paint Brush 3&quot;(12Pc/Ctr)"/>
    <x v="39"/>
    <s v="Ex"/>
    <n v="20"/>
    <s v="Box"/>
    <n v="42"/>
    <n v="840"/>
    <n v="280528.5"/>
    <s v="8/4, 21/5"/>
    <n v="5"/>
    <n v="15"/>
    <s v="DO98(4), DO89(1), "/>
    <m/>
  </r>
  <r>
    <d v="2021-03-22T00:00:00"/>
    <x v="9"/>
    <x v="2"/>
    <x v="52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3"/>
    <x v="4"/>
    <s v="RD Iron Roller 4&quot;"/>
    <x v="40"/>
    <s v="Ex"/>
    <n v="2"/>
    <s v="Pc"/>
    <n v="50"/>
    <n v="100"/>
    <n v="281678.5"/>
    <s v="21/5"/>
    <n v="1"/>
    <n v="1"/>
    <s v="DO89(1)"/>
    <m/>
  </r>
  <r>
    <d v="2021-03-23T00:00:00"/>
    <x v="9"/>
    <x v="2"/>
    <x v="53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4"/>
    <x v="6"/>
    <s v="RE Frekote 770NC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5"/>
    <x v="0"/>
    <s v="RA Pigment H 2006 Dark Grey (5Kg)"/>
    <x v="28"/>
    <s v="Ex"/>
    <n v="2"/>
    <s v="Tin"/>
    <n v="110"/>
    <n v="220"/>
    <n v="283218.5"/>
    <s v="24/3"/>
    <n v="2"/>
    <n v="0"/>
    <s v="DO89(2)"/>
    <m/>
  </r>
  <r>
    <d v="2021-03-24T00:00:00"/>
    <x v="9"/>
    <x v="2"/>
    <x v="56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6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7"/>
    <x v="0"/>
    <s v="RA CSM 300 TWL 54Kg 96m(L) X 1860mm(W)"/>
    <x v="14"/>
    <s v="Delivered"/>
    <n v="16"/>
    <s v="Roll"/>
    <n v="394.2"/>
    <n v="6307.2"/>
    <n v="291285.7"/>
    <s v="1/4, 3/5, 1/6, 1/9, 14/9"/>
    <n v="14"/>
    <n v="2"/>
    <s v="DO95(1), DO101(4), DO109(4), DO115(4), DO117(1)"/>
    <m/>
  </r>
  <r>
    <d v="2021-03-29T00:00:00"/>
    <x v="9"/>
    <x v="2"/>
    <x v="58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59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0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1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1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2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3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3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4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5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5"/>
    <x v="0"/>
    <s v="RA Talcum Powder (25kg)"/>
    <x v="10"/>
    <s v="Delivered"/>
    <n v="80"/>
    <s v="Bags"/>
    <n v="30"/>
    <n v="2400"/>
    <n v="348196.7"/>
    <s v="1/6, 14/9, 14/9, 2/10, 5/10, 7/10, 11/10, 15/10, 18/10, 26/10, 30/10"/>
    <n v="55"/>
    <n v="25"/>
    <s v="DO111(1), DO117(4), DO118(10), DO125(3), DO127(5), DO128(6), DO131(2), DO136(1), DO139(7), DO144(6), DO149(10)"/>
    <m/>
  </r>
  <r>
    <s v="19/4.2021"/>
    <x v="10"/>
    <x v="2"/>
    <x v="66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7"/>
    <x v="8"/>
    <s v="RG CSM 450 CQ 54kg 64m(L) X 1860mm(W)"/>
    <x v="47"/>
    <s v="Ex"/>
    <n v="10"/>
    <s v="Roll"/>
    <n v="405"/>
    <n v="4050"/>
    <n v="355502.7"/>
    <s v="27/4, 3/5, 2/10"/>
    <n v="10"/>
    <n v="0"/>
    <s v="DO100(5), DO101(4), DO125(1)"/>
    <m/>
  </r>
  <r>
    <d v="2021-04-28T00:00:00"/>
    <x v="10"/>
    <x v="2"/>
    <x v="68"/>
    <x v="9"/>
    <s v="Bosny Wax (15Kg)"/>
    <x v="48"/>
    <s v="Ex"/>
    <n v="2"/>
    <s v="Pail"/>
    <n v="320"/>
    <n v="640"/>
    <n v="356142.7"/>
    <s v="29/4"/>
    <n v="1"/>
    <n v="1"/>
    <s v="DO102(1)"/>
    <m/>
  </r>
  <r>
    <d v="2021-05-03T00:00:00"/>
    <x v="11"/>
    <x v="2"/>
    <x v="69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69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69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28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28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0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0"/>
    <x v="0"/>
    <s v="RA CSM 450 TWL 60kg 64m(L) X 2080mm(W)"/>
    <x v="52"/>
    <s v="Delivered"/>
    <n v="16"/>
    <s v="Roll"/>
    <n v="462"/>
    <n v="7392"/>
    <n v="402699.9"/>
    <s v="1/6, 1/9, 27/9"/>
    <n v="11"/>
    <n v="5"/>
    <s v="DO109(3), DO115(4), DO121(4)"/>
    <m/>
  </r>
  <r>
    <d v="2021-05-18T00:00:00"/>
    <x v="11"/>
    <x v="2"/>
    <x v="71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1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2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28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28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28"/>
    <x v="0"/>
    <s v="RA Aerosil (Silica Fume) (10Kg)"/>
    <x v="32"/>
    <s v="Delivered"/>
    <n v="2"/>
    <s v="Bag"/>
    <n v="290"/>
    <n v="580"/>
    <n v="460601.30000000005"/>
    <s v="13/10"/>
    <n v="1"/>
    <n v="1"/>
    <s v="DO133(1)"/>
    <m/>
  </r>
  <r>
    <d v="2021-09-29T00:00:00"/>
    <x v="4"/>
    <x v="2"/>
    <x v="28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28"/>
    <x v="0"/>
    <s v="RA Resin 3317AW (220Kg)"/>
    <x v="17"/>
    <s v="Delivered"/>
    <n v="10"/>
    <s v="Drum"/>
    <n v="1650"/>
    <n v="16500"/>
    <n v="477821.30000000005"/>
    <s v="26/10, 26/10, 26/10"/>
    <n v="7"/>
    <n v="3"/>
    <s v="DO143(2), DO144(2), DO146(3)"/>
    <m/>
  </r>
  <r>
    <d v="2021-10-04T00:00:00"/>
    <x v="5"/>
    <x v="2"/>
    <x v="28"/>
    <x v="8"/>
    <s v="RG CSM 450 CQ 54kg 64m(L) X 1860mm(W)"/>
    <x v="47"/>
    <s v="Ex"/>
    <n v="10"/>
    <s v="Roll"/>
    <n v="432"/>
    <n v="4320"/>
    <n v="482141.30000000005"/>
    <s v="13/10"/>
    <n v="2"/>
    <n v="8"/>
    <s v="DO133(2)"/>
    <m/>
  </r>
  <r>
    <d v="2021-10-07T00:00:00"/>
    <x v="5"/>
    <x v="2"/>
    <x v="73"/>
    <x v="0"/>
    <s v="RA CSM 450 TWL 37kg 79m(L) X 1040mm(W)"/>
    <x v="51"/>
    <s v="Delivered"/>
    <n v="25"/>
    <s v="Roll"/>
    <n v="281.2"/>
    <n v="7030"/>
    <n v="489171.30000000005"/>
    <s v="28/10, 30/10"/>
    <n v="6"/>
    <n v="19"/>
    <s v="DO147(2), DO149(4)"/>
    <m/>
  </r>
  <r>
    <d v="2021-10-08T00:00:00"/>
    <x v="5"/>
    <x v="2"/>
    <x v="74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75"/>
    <x v="0"/>
    <s v="RA Resin SHCP268W (225kg)"/>
    <x v="54"/>
    <s v="Ex"/>
    <n v="4"/>
    <s v="Drum"/>
    <n v="1676.25"/>
    <n v="6705"/>
    <n v="496676.30000000005"/>
    <s v="12/10"/>
    <n v="4"/>
    <n v="0"/>
    <s v="DO132(4)"/>
    <m/>
  </r>
  <r>
    <d v="2021-10-12T00:00:00"/>
    <x v="5"/>
    <x v="2"/>
    <x v="75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75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75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75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28"/>
    <x v="11"/>
    <s v="RJ Nor 3338W (220Kg)"/>
    <x v="56"/>
    <s v="Ex"/>
    <n v="4"/>
    <s v="Drum"/>
    <n v="1760"/>
    <n v="7040"/>
    <n v="508239.30000000005"/>
    <s v="28/10"/>
    <n v="3"/>
    <n v="1"/>
    <s v="DO147(3)"/>
    <m/>
  </r>
  <r>
    <d v="2021-10-14T00:00:00"/>
    <x v="5"/>
    <x v="2"/>
    <x v="28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28"/>
    <x v="11"/>
    <s v="RJ TR104 Hi Temp Wax"/>
    <x v="58"/>
    <s v="Ex"/>
    <n v="12"/>
    <s v="Tin"/>
    <n v="40"/>
    <n v="480"/>
    <n v="513399.30000000005"/>
    <s v="14/10"/>
    <n v="6"/>
    <n v="6"/>
    <s v="DO134(6)"/>
    <m/>
  </r>
  <r>
    <d v="2021-10-15T00:00:00"/>
    <x v="5"/>
    <x v="2"/>
    <x v="76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77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8(2)"/>
    <m/>
  </r>
  <r>
    <d v="2021-10-15T00:00:00"/>
    <x v="5"/>
    <x v="2"/>
    <x v="77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78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28"/>
    <x v="12"/>
    <s v="RK Smooth Cream (25kg)"/>
    <x v="61"/>
    <s v="Ex"/>
    <n v="12"/>
    <s v="Pail"/>
    <n v="700"/>
    <n v="8400"/>
    <n v="526919.5"/>
    <s v="19/10, 26/10"/>
    <n v="2"/>
    <n v="10"/>
    <s v="DO140(1), DO144(1)"/>
    <m/>
  </r>
  <r>
    <d v="2021-10-20T00:00:00"/>
    <x v="5"/>
    <x v="2"/>
    <x v="28"/>
    <x v="0"/>
    <s v="RA Mepoxe M (5kg)"/>
    <x v="36"/>
    <s v="Ex"/>
    <n v="16"/>
    <s v="Bottle"/>
    <n v="65"/>
    <n v="1040"/>
    <n v="527959.5"/>
    <s v="20/10, 30/10"/>
    <n v="5"/>
    <n v="11"/>
    <s v="DO141(1), DO149(4)"/>
    <m/>
  </r>
  <r>
    <d v="2021-10-21T00:00:00"/>
    <x v="5"/>
    <x v="2"/>
    <x v="78"/>
    <x v="11"/>
    <s v="RJ Nor 3338W (220Kg)"/>
    <x v="56"/>
    <s v="Ex"/>
    <n v="5"/>
    <s v="Drum"/>
    <n v="1760"/>
    <n v="8800"/>
    <n v="536759.5"/>
    <s v="30/10"/>
    <n v="4"/>
    <n v="1"/>
    <s v="DO149(4)"/>
    <m/>
  </r>
  <r>
    <d v="2021-10-21T00:00:00"/>
    <x v="5"/>
    <x v="2"/>
    <x v="78"/>
    <x v="11"/>
    <s v="RJ Resin 3317AW (220Kg)"/>
    <x v="62"/>
    <s v="Ex"/>
    <n v="10"/>
    <s v="Drum"/>
    <n v="1760"/>
    <n v="17600"/>
    <n v="554359.5"/>
    <m/>
    <m/>
    <n v="10"/>
    <m/>
    <m/>
  </r>
  <r>
    <d v="2021-10-21T00:00:00"/>
    <x v="5"/>
    <x v="2"/>
    <x v="28"/>
    <x v="8"/>
    <s v="RG Nor 3338W (220Kg)"/>
    <x v="63"/>
    <s v="Ex"/>
    <n v="5"/>
    <s v="Drum"/>
    <n v="1749"/>
    <n v="8745"/>
    <n v="563104.5"/>
    <m/>
    <m/>
    <n v="5"/>
    <m/>
    <m/>
  </r>
  <r>
    <d v="2021-10-26T00:00:00"/>
    <x v="5"/>
    <x v="2"/>
    <x v="28"/>
    <x v="0"/>
    <s v="RA Butanox M50 (5kg)"/>
    <x v="7"/>
    <s v="Ex"/>
    <n v="12"/>
    <s v="Bottle"/>
    <n v="82.5"/>
    <n v="990"/>
    <n v="564094.5"/>
    <s v="5/10, 14/10, 15/10, 26/10"/>
    <n v="7"/>
    <n v="5"/>
    <s v="DO126(1), DO134(1), DO137(1), DO143(4)"/>
    <s v="DO126(1), DO134(1), DO137(1) *Ex Stock (3)"/>
  </r>
  <r>
    <d v="2021-10-26T00:00:00"/>
    <x v="5"/>
    <x v="2"/>
    <x v="28"/>
    <x v="0"/>
    <s v="RA Woven Roving E-600 (45kg) 1120mm"/>
    <x v="55"/>
    <s v="Ex"/>
    <n v="20"/>
    <s v="Roll"/>
    <n v="288"/>
    <n v="5760"/>
    <n v="569854.5"/>
    <s v="26/10"/>
    <n v="9"/>
    <n v="11"/>
    <s v="DO144(9)"/>
    <m/>
  </r>
  <r>
    <d v="2021-10-28T00:00:00"/>
    <x v="5"/>
    <x v="2"/>
    <x v="79"/>
    <x v="6"/>
    <s v="RE Frekote 770NC"/>
    <x v="42"/>
    <s v="Ex"/>
    <n v="4"/>
    <s v="Tin"/>
    <n v="305"/>
    <n v="1220"/>
    <n v="571074.5"/>
    <s v="28/10"/>
    <n v="1"/>
    <n v="3"/>
    <s v="DO148(1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7E402D-10B2-46CD-8BF9-D35C27F68AAC}" name="PivotTable2" cacheId="6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G178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4">
        <item x="0"/>
        <item x="1"/>
        <item x="2"/>
        <item t="default"/>
      </items>
    </pivotField>
    <pivotField axis="axisRow" compact="0" outline="0" showAll="0" defaultSubtotal="0">
      <items count="80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8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49"/>
        <item x="50"/>
        <item x="51"/>
        <item x="52"/>
        <item x="53"/>
        <item x="54"/>
        <item x="0"/>
        <item x="9"/>
        <item x="55"/>
        <item x="56"/>
        <item x="57"/>
        <item x="58"/>
        <item x="59"/>
        <item x="63"/>
        <item x="66"/>
        <item x="67"/>
        <item x="68"/>
        <item x="60"/>
        <item x="61"/>
        <item x="62"/>
        <item x="64"/>
        <item x="65"/>
        <item x="69"/>
        <item x="70"/>
        <item x="71"/>
        <item x="72"/>
        <item x="10"/>
        <item x="73"/>
        <item x="74"/>
        <item x="75"/>
        <item x="76"/>
        <item x="77"/>
        <item x="78"/>
        <item x="79"/>
      </items>
    </pivotField>
    <pivotField axis="axisRow" compact="0" outline="0" showAll="0">
      <items count="14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t="default"/>
      </items>
    </pivotField>
    <pivotField compact="0" outline="0" showAll="0"/>
    <pivotField axis="axisRow" compact="0" outline="0" showAll="0">
      <items count="65">
        <item x="24"/>
        <item x="33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174">
    <i>
      <x/>
      <x/>
      <x v="52"/>
      <x v="8"/>
    </i>
    <i r="3">
      <x v="10"/>
    </i>
    <i r="3">
      <x v="14"/>
    </i>
    <i r="3">
      <x v="27"/>
    </i>
    <i r="3">
      <x v="28"/>
    </i>
    <i t="default" r="1">
      <x/>
    </i>
    <i t="default">
      <x/>
    </i>
    <i>
      <x v="1"/>
      <x/>
      <x v="1"/>
      <x v="26"/>
    </i>
    <i r="2">
      <x v="2"/>
      <x v="32"/>
    </i>
    <i r="2">
      <x v="3"/>
      <x v="16"/>
    </i>
    <i r="2">
      <x v="14"/>
      <x v="7"/>
    </i>
    <i r="3">
      <x v="11"/>
    </i>
    <i r="3">
      <x v="16"/>
    </i>
    <i r="3">
      <x v="27"/>
    </i>
    <i r="2">
      <x v="15"/>
      <x v="7"/>
    </i>
    <i r="3">
      <x v="10"/>
    </i>
    <i r="3">
      <x v="20"/>
    </i>
    <i r="3">
      <x v="32"/>
    </i>
    <i r="2">
      <x v="16"/>
      <x v="19"/>
    </i>
    <i r="3">
      <x v="20"/>
    </i>
    <i r="2">
      <x v="17"/>
      <x v="14"/>
    </i>
    <i r="3">
      <x v="27"/>
    </i>
    <i r="3">
      <x v="28"/>
    </i>
    <i r="2">
      <x v="18"/>
      <x v="36"/>
    </i>
    <i r="2">
      <x v="19"/>
      <x v="26"/>
    </i>
    <i r="2">
      <x v="20"/>
      <x v="6"/>
    </i>
    <i r="3">
      <x v="20"/>
    </i>
    <i r="2">
      <x v="21"/>
      <x v="36"/>
    </i>
    <i r="2">
      <x v="22"/>
      <x v="7"/>
    </i>
    <i r="3">
      <x v="14"/>
    </i>
    <i r="2">
      <x v="23"/>
      <x v="4"/>
    </i>
    <i r="3">
      <x v="20"/>
    </i>
    <i r="2">
      <x v="24"/>
      <x v="9"/>
    </i>
    <i r="3">
      <x v="11"/>
    </i>
    <i r="3">
      <x v="14"/>
    </i>
    <i r="3">
      <x v="19"/>
    </i>
    <i r="3">
      <x v="20"/>
    </i>
    <i r="2">
      <x v="25"/>
      <x v="9"/>
    </i>
    <i r="3">
      <x v="10"/>
    </i>
    <i r="3">
      <x v="11"/>
    </i>
    <i r="2">
      <x v="26"/>
      <x v="20"/>
    </i>
    <i r="2">
      <x v="27"/>
      <x v="7"/>
    </i>
    <i r="3">
      <x v="14"/>
    </i>
    <i r="3">
      <x v="19"/>
    </i>
    <i r="2">
      <x v="28"/>
      <x v="26"/>
    </i>
    <i r="2">
      <x v="29"/>
      <x v="20"/>
    </i>
    <i r="2">
      <x v="30"/>
      <x v="15"/>
    </i>
    <i r="2">
      <x v="31"/>
      <x v="17"/>
    </i>
    <i r="2">
      <x v="32"/>
      <x v="16"/>
    </i>
    <i r="3">
      <x v="24"/>
    </i>
    <i r="2">
      <x v="33"/>
      <x v="20"/>
    </i>
    <i r="2">
      <x v="34"/>
      <x v="20"/>
    </i>
    <i r="2">
      <x v="35"/>
      <x v="6"/>
    </i>
    <i r="3">
      <x v="21"/>
    </i>
    <i r="2">
      <x v="36"/>
      <x/>
    </i>
    <i r="3">
      <x v="12"/>
    </i>
    <i r="2">
      <x v="37"/>
      <x v="7"/>
    </i>
    <i r="2">
      <x v="43"/>
      <x v="20"/>
    </i>
    <i r="2">
      <x v="44"/>
      <x v="15"/>
    </i>
    <i r="2">
      <x v="53"/>
      <x v="16"/>
    </i>
    <i r="2">
      <x v="72"/>
      <x v="9"/>
    </i>
    <i t="default" r="1">
      <x/>
    </i>
    <i r="1">
      <x v="1"/>
      <x/>
      <x v="34"/>
    </i>
    <i t="default" r="1">
      <x v="1"/>
    </i>
    <i r="1">
      <x v="2"/>
      <x v="45"/>
      <x v="2"/>
    </i>
    <i t="default" r="1">
      <x v="2"/>
    </i>
    <i r="1">
      <x v="3"/>
      <x v="38"/>
      <x v="35"/>
    </i>
    <i r="2">
      <x v="39"/>
      <x v="35"/>
    </i>
    <i r="2">
      <x v="40"/>
      <x v="35"/>
    </i>
    <i r="2">
      <x v="41"/>
      <x v="35"/>
    </i>
    <i r="2">
      <x v="42"/>
      <x v="18"/>
    </i>
    <i t="default" r="1">
      <x v="3"/>
    </i>
    <i t="default">
      <x v="1"/>
    </i>
    <i>
      <x v="2"/>
      <x/>
      <x v="4"/>
      <x v="12"/>
    </i>
    <i r="2">
      <x v="5"/>
      <x v="1"/>
    </i>
    <i r="3">
      <x v="5"/>
    </i>
    <i r="3">
      <x v="13"/>
    </i>
    <i r="3">
      <x v="22"/>
    </i>
    <i r="3">
      <x v="23"/>
    </i>
    <i r="3">
      <x v="29"/>
    </i>
    <i r="3">
      <x v="37"/>
    </i>
    <i r="2">
      <x v="6"/>
      <x v="33"/>
    </i>
    <i r="2">
      <x v="7"/>
      <x v="30"/>
    </i>
    <i r="3">
      <x v="31"/>
    </i>
    <i r="2">
      <x v="8"/>
      <x v="17"/>
    </i>
    <i r="3">
      <x v="22"/>
    </i>
    <i r="2">
      <x v="9"/>
      <x v="13"/>
    </i>
    <i r="2">
      <x v="10"/>
      <x v="7"/>
    </i>
    <i r="3">
      <x v="20"/>
    </i>
    <i r="3">
      <x v="26"/>
    </i>
    <i r="3">
      <x v="32"/>
    </i>
    <i r="3">
      <x v="52"/>
    </i>
    <i r="2">
      <x v="11"/>
      <x v="12"/>
    </i>
    <i r="3">
      <x v="17"/>
    </i>
    <i r="3">
      <x v="25"/>
    </i>
    <i r="2">
      <x v="12"/>
      <x v="22"/>
    </i>
    <i r="2">
      <x v="13"/>
      <x v="1"/>
    </i>
    <i r="2">
      <x v="45"/>
      <x v="5"/>
    </i>
    <i r="3">
      <x v="7"/>
    </i>
    <i r="3">
      <x v="20"/>
    </i>
    <i r="3">
      <x v="26"/>
    </i>
    <i r="3">
      <x v="50"/>
    </i>
    <i r="3">
      <x v="52"/>
    </i>
    <i r="3">
      <x v="55"/>
    </i>
    <i r="2">
      <x v="46"/>
      <x v="14"/>
    </i>
    <i r="3">
      <x v="20"/>
    </i>
    <i r="2">
      <x v="47"/>
      <x v="20"/>
    </i>
    <i r="2">
      <x v="54"/>
      <x v="22"/>
    </i>
    <i r="2">
      <x v="55"/>
      <x v="7"/>
    </i>
    <i r="3">
      <x v="52"/>
    </i>
    <i r="2">
      <x v="56"/>
      <x v="9"/>
    </i>
    <i r="2">
      <x v="57"/>
      <x v="12"/>
    </i>
    <i r="2">
      <x v="58"/>
      <x v="42"/>
    </i>
    <i r="2">
      <x v="63"/>
      <x v="20"/>
    </i>
    <i r="2">
      <x v="64"/>
      <x v="16"/>
    </i>
    <i r="3">
      <x v="20"/>
    </i>
    <i r="2">
      <x v="65"/>
      <x v="14"/>
    </i>
    <i r="2">
      <x v="66"/>
      <x v="5"/>
    </i>
    <i r="2">
      <x v="67"/>
      <x v="20"/>
    </i>
    <i r="3">
      <x v="32"/>
    </i>
    <i r="2">
      <x v="68"/>
      <x v="5"/>
    </i>
    <i r="3">
      <x v="7"/>
    </i>
    <i r="3">
      <x v="20"/>
    </i>
    <i r="2">
      <x v="69"/>
      <x v="50"/>
    </i>
    <i r="3">
      <x v="51"/>
    </i>
    <i r="2">
      <x v="70"/>
      <x v="19"/>
    </i>
    <i r="3">
      <x v="26"/>
    </i>
    <i r="2">
      <x v="73"/>
      <x v="50"/>
    </i>
    <i r="2">
      <x v="75"/>
      <x v="32"/>
    </i>
    <i r="3">
      <x v="50"/>
    </i>
    <i r="3">
      <x v="52"/>
    </i>
    <i r="3">
      <x v="54"/>
    </i>
    <i r="3">
      <x v="55"/>
    </i>
    <i r="2">
      <x v="76"/>
      <x v="59"/>
    </i>
    <i r="2">
      <x v="77"/>
      <x v="50"/>
    </i>
    <i r="3">
      <x v="55"/>
    </i>
    <i t="default" r="1">
      <x/>
    </i>
    <i r="1">
      <x v="2"/>
      <x v="45"/>
      <x v="3"/>
    </i>
    <i r="3">
      <x v="47"/>
    </i>
    <i r="3">
      <x v="48"/>
    </i>
    <i t="default" r="1">
      <x v="2"/>
    </i>
    <i r="1">
      <x v="4"/>
      <x v="48"/>
      <x v="38"/>
    </i>
    <i r="2">
      <x v="50"/>
      <x v="39"/>
    </i>
    <i r="3">
      <x v="40"/>
    </i>
    <i t="default" r="1">
      <x v="4"/>
    </i>
    <i r="1">
      <x v="5"/>
      <x v="49"/>
      <x v="14"/>
    </i>
    <i t="default" r="1">
      <x v="5"/>
    </i>
    <i r="1">
      <x v="6"/>
      <x v="51"/>
      <x v="41"/>
    </i>
    <i r="2">
      <x v="79"/>
      <x v="41"/>
    </i>
    <i t="default" r="1">
      <x v="6"/>
    </i>
    <i r="1">
      <x v="7"/>
      <x v="59"/>
      <x v="43"/>
    </i>
    <i r="3">
      <x v="44"/>
    </i>
    <i r="2">
      <x v="60"/>
      <x v="45"/>
    </i>
    <i r="2">
      <x v="71"/>
      <x v="43"/>
    </i>
    <i t="default" r="1">
      <x v="7"/>
    </i>
    <i r="1">
      <x v="8"/>
      <x v="45"/>
      <x v="49"/>
    </i>
    <i r="3">
      <x v="63"/>
    </i>
    <i r="2">
      <x v="61"/>
      <x v="49"/>
    </i>
    <i t="default" r="1">
      <x v="8"/>
    </i>
    <i r="1">
      <x v="9"/>
      <x v="62"/>
      <x v="46"/>
    </i>
    <i t="default" r="1">
      <x v="9"/>
    </i>
    <i r="1">
      <x v="10"/>
      <x v="74"/>
      <x v="53"/>
    </i>
    <i t="default" r="1">
      <x v="10"/>
    </i>
    <i r="1">
      <x v="11"/>
      <x v="45"/>
      <x v="56"/>
    </i>
    <i r="3">
      <x v="57"/>
    </i>
    <i r="3">
      <x v="58"/>
    </i>
    <i r="2">
      <x v="78"/>
      <x v="56"/>
    </i>
    <i r="3">
      <x v="60"/>
    </i>
    <i r="3">
      <x v="62"/>
    </i>
    <i t="default" r="1">
      <x v="11"/>
    </i>
    <i r="1">
      <x v="12"/>
      <x v="45"/>
      <x v="61"/>
    </i>
    <i t="default" r="1">
      <x v="12"/>
    </i>
    <i t="default"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21">
      <pivotArea dataOnly="0" outline="0" fieldPosition="0">
        <references count="1">
          <reference field="3" count="0" defaultSubtotal="1"/>
        </references>
      </pivotArea>
    </format>
    <format dxfId="20">
      <pivotArea dataOnly="0" outline="0" fieldPosition="0">
        <references count="1">
          <reference field="3" count="0" defaultSubtotal="1"/>
        </references>
      </pivotArea>
    </format>
    <format dxfId="19">
      <pivotArea dataOnly="0" grandRow="1" outline="0" fieldPosition="0"/>
    </format>
    <format dxfId="18">
      <pivotArea outline="0" fieldPosition="0">
        <references count="1">
          <reference field="4294967294" count="1">
            <x v="1"/>
          </reference>
        </references>
      </pivotArea>
    </format>
    <format dxfId="17">
      <pivotArea outline="0" fieldPosition="0">
        <references count="1">
          <reference field="4294967294" count="1">
            <x v="2"/>
          </reference>
        </references>
      </pivotArea>
    </format>
    <format dxfId="16">
      <pivotArea outline="0" fieldPosition="0">
        <references count="1">
          <reference field="4294967294" count="1">
            <x v="0"/>
          </reference>
        </references>
      </pivotArea>
    </format>
    <format dxfId="15">
      <pivotArea dataOnly="0" outline="0" fieldPosition="0">
        <references count="1">
          <reference field="4" count="0" defaultSubtotal="1"/>
        </references>
      </pivotArea>
    </format>
    <format dxfId="14">
      <pivotArea dataOnly="0" outline="0" fieldPosition="0">
        <references count="1">
          <reference field="2" count="0" defaultSubtotal="1"/>
        </references>
      </pivotArea>
    </format>
    <format dxfId="13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EC1936-1294-4EC5-BD07-774BAC9D787B}" name="PivotTable1" cacheId="6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E152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6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148">
    <i>
      <x/>
      <x v="2"/>
    </i>
    <i r="1">
      <x v="4"/>
    </i>
    <i r="1">
      <x v="7"/>
    </i>
    <i r="1">
      <x v="21"/>
    </i>
    <i r="1">
      <x v="26"/>
    </i>
    <i r="1">
      <x v="38"/>
    </i>
    <i r="1">
      <x v="39"/>
    </i>
    <i r="1">
      <x v="40"/>
    </i>
    <i r="1">
      <x v="41"/>
    </i>
    <i r="1">
      <x v="42"/>
    </i>
    <i r="1">
      <x v="52"/>
    </i>
    <i t="default">
      <x/>
    </i>
    <i>
      <x v="1"/>
      <x v="2"/>
    </i>
    <i r="1">
      <x v="6"/>
    </i>
    <i r="1">
      <x v="9"/>
    </i>
    <i r="1">
      <x v="15"/>
    </i>
    <i r="1">
      <x v="18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9"/>
    </i>
    <i r="1">
      <x v="20"/>
    </i>
    <i r="1">
      <x v="30"/>
    </i>
    <i r="1">
      <x v="35"/>
    </i>
    <i r="1">
      <x v="50"/>
    </i>
    <i r="1">
      <x v="52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4"/>
    </i>
    <i r="1">
      <x v="41"/>
    </i>
    <i r="1">
      <x v="49"/>
    </i>
    <i r="1">
      <x v="50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t="default">
      <x v="5"/>
    </i>
    <i>
      <x v="6"/>
      <x v="1"/>
    </i>
    <i r="1">
      <x v="2"/>
    </i>
    <i r="1">
      <x v="11"/>
    </i>
    <i r="1">
      <x v="19"/>
    </i>
    <i r="1">
      <x v="21"/>
    </i>
    <i r="1">
      <x v="22"/>
    </i>
    <i t="default">
      <x v="6"/>
    </i>
    <i>
      <x v="7"/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t="default">
      <x v="7"/>
    </i>
    <i>
      <x v="8"/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1"/>
    </i>
    <i r="1">
      <x v="34"/>
    </i>
    <i r="1">
      <x v="36"/>
    </i>
    <i r="1">
      <x v="37"/>
    </i>
    <i r="1">
      <x v="52"/>
    </i>
    <i t="default">
      <x v="9"/>
    </i>
    <i>
      <x v="10"/>
      <x v="7"/>
    </i>
    <i r="1">
      <x v="9"/>
    </i>
    <i r="1">
      <x v="11"/>
    </i>
    <i r="1">
      <x v="17"/>
    </i>
    <i r="1">
      <x v="30"/>
    </i>
    <i r="1">
      <x v="43"/>
    </i>
    <i r="1">
      <x v="44"/>
    </i>
    <i r="1">
      <x v="45"/>
    </i>
    <i r="1">
      <x v="46"/>
    </i>
    <i r="1">
      <x v="4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43"/>
    </i>
    <i r="1">
      <x v="47"/>
    </i>
    <i r="1">
      <x v="48"/>
    </i>
    <i r="1">
      <x v="50"/>
    </i>
    <i r="1">
      <x v="51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12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586781-C0DE-4936-B249-26C90137C864}" name="PivotTable2" cacheId="6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L3:O69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64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6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DD21A0-DAD8-468C-80D0-07C31B479888}" name="PivotTable2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6" indent="0" compact="0" compactData="0" gridDropZones="1" multipleFieldFilters="0">
  <location ref="A3:D67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6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19"/>
        <item x="18"/>
        <item x="37"/>
        <item x="38"/>
        <item x="39"/>
        <item x="40"/>
        <item x="41"/>
        <item x="42"/>
        <item x="43"/>
        <item x="44"/>
        <item x="45"/>
        <item x="46"/>
        <item x="48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6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2">
    <format dxfId="11">
      <pivotArea dataOnly="0" outline="0" fieldPosition="0">
        <references count="1">
          <reference field="6" count="13">
            <x v="2"/>
            <x v="6"/>
            <x v="7"/>
            <x v="14"/>
            <x v="17"/>
            <x v="19"/>
            <x v="21"/>
            <x v="26"/>
            <x v="32"/>
            <x v="34"/>
            <x v="38"/>
            <x v="39"/>
            <x v="41"/>
          </reference>
        </references>
      </pivotArea>
    </format>
    <format dxfId="10">
      <pivotArea dataOnly="0" outline="0" fieldPosition="0">
        <references count="1">
          <reference field="6" count="1">
            <x v="26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63" Type="http://schemas.openxmlformats.org/officeDocument/2006/relationships/image" Target="../media/image30.emf"/><Relationship Id="rId84" Type="http://schemas.openxmlformats.org/officeDocument/2006/relationships/oleObject" Target="../embeddings/oleObject41.bin"/><Relationship Id="rId16" Type="http://schemas.openxmlformats.org/officeDocument/2006/relationships/oleObject" Target="../embeddings/oleObject7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28" Type="http://schemas.openxmlformats.org/officeDocument/2006/relationships/oleObject" Target="../embeddings/oleObject63.bin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18" Type="http://schemas.openxmlformats.org/officeDocument/2006/relationships/oleObject" Target="../embeddings/oleObject58.bin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08" Type="http://schemas.openxmlformats.org/officeDocument/2006/relationships/oleObject" Target="../embeddings/oleObject53.bin"/><Relationship Id="rId124" Type="http://schemas.openxmlformats.org/officeDocument/2006/relationships/oleObject" Target="../embeddings/oleObject61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35" Type="http://schemas.openxmlformats.org/officeDocument/2006/relationships/image" Target="../media/image66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109" Type="http://schemas.openxmlformats.org/officeDocument/2006/relationships/image" Target="../media/image53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04" Type="http://schemas.openxmlformats.org/officeDocument/2006/relationships/oleObject" Target="../embeddings/oleObject51.bin"/><Relationship Id="rId120" Type="http://schemas.openxmlformats.org/officeDocument/2006/relationships/oleObject" Target="../embeddings/oleObject59.bin"/><Relationship Id="rId125" Type="http://schemas.openxmlformats.org/officeDocument/2006/relationships/image" Target="../media/image61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15" Type="http://schemas.openxmlformats.org/officeDocument/2006/relationships/image" Target="../media/image56.emf"/><Relationship Id="rId131" Type="http://schemas.openxmlformats.org/officeDocument/2006/relationships/image" Target="../media/image64.emf"/><Relationship Id="rId136" Type="http://schemas.openxmlformats.org/officeDocument/2006/relationships/comments" Target="../comments1.xml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3" Type="http://schemas.openxmlformats.org/officeDocument/2006/relationships/vmlDrawing" Target="../drawings/vmlDrawing1.vml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116" Type="http://schemas.openxmlformats.org/officeDocument/2006/relationships/oleObject" Target="../embeddings/oleObject57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94" Type="http://schemas.openxmlformats.org/officeDocument/2006/relationships/oleObject" Target="../embeddings/oleObject46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26" Type="http://schemas.openxmlformats.org/officeDocument/2006/relationships/oleObject" Target="../embeddings/oleObject12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68.bin"/><Relationship Id="rId12" Type="http://schemas.openxmlformats.org/officeDocument/2006/relationships/image" Target="../media/image70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67.emf"/><Relationship Id="rId11" Type="http://schemas.openxmlformats.org/officeDocument/2006/relationships/oleObject" Target="../embeddings/oleObject70.bin"/><Relationship Id="rId5" Type="http://schemas.openxmlformats.org/officeDocument/2006/relationships/oleObject" Target="../embeddings/oleObject67.bin"/><Relationship Id="rId10" Type="http://schemas.openxmlformats.org/officeDocument/2006/relationships/image" Target="../media/image69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69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2"/>
  <sheetViews>
    <sheetView workbookViewId="0">
      <selection activeCell="C13" sqref="C13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307</v>
      </c>
      <c r="B5" t="s">
        <v>41</v>
      </c>
      <c r="C5" t="s">
        <v>309</v>
      </c>
    </row>
    <row r="6" spans="1:3" x14ac:dyDescent="0.35">
      <c r="A6" t="s">
        <v>308</v>
      </c>
      <c r="B6" t="s">
        <v>41</v>
      </c>
      <c r="C6" t="s">
        <v>310</v>
      </c>
    </row>
    <row r="7" spans="1:3" x14ac:dyDescent="0.35">
      <c r="A7" t="s">
        <v>352</v>
      </c>
      <c r="B7" t="s">
        <v>41</v>
      </c>
      <c r="C7" t="s">
        <v>345</v>
      </c>
    </row>
    <row r="8" spans="1:3" x14ac:dyDescent="0.35">
      <c r="A8" t="s">
        <v>362</v>
      </c>
      <c r="B8" t="s">
        <v>41</v>
      </c>
      <c r="C8" t="s">
        <v>353</v>
      </c>
    </row>
    <row r="9" spans="1:3" x14ac:dyDescent="0.35">
      <c r="A9" t="s">
        <v>367</v>
      </c>
      <c r="B9" t="s">
        <v>41</v>
      </c>
      <c r="C9" t="s">
        <v>368</v>
      </c>
    </row>
    <row r="10" spans="1:3" x14ac:dyDescent="0.35">
      <c r="A10" t="s">
        <v>448</v>
      </c>
      <c r="B10" t="s">
        <v>41</v>
      </c>
      <c r="C10" t="s">
        <v>449</v>
      </c>
    </row>
    <row r="11" spans="1:3" x14ac:dyDescent="0.35">
      <c r="A11" t="s">
        <v>453</v>
      </c>
      <c r="B11" t="s">
        <v>41</v>
      </c>
      <c r="C11" t="s">
        <v>454</v>
      </c>
    </row>
    <row r="12" spans="1:3" x14ac:dyDescent="0.35">
      <c r="A12" t="s">
        <v>490</v>
      </c>
      <c r="B12" t="s">
        <v>41</v>
      </c>
      <c r="C12" t="s">
        <v>501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T167"/>
  <sheetViews>
    <sheetView tabSelected="1" topLeftCell="A148" zoomScale="80" zoomScaleNormal="80" workbookViewId="0">
      <selection activeCell="Q154" sqref="Q154"/>
    </sheetView>
  </sheetViews>
  <sheetFormatPr defaultRowHeight="14.5" x14ac:dyDescent="0.35"/>
  <cols>
    <col min="1" max="1" width="11.08984375" style="102" customWidth="1"/>
    <col min="2" max="2" width="5.36328125" style="103" customWidth="1"/>
    <col min="3" max="3" width="5.54296875" style="103" customWidth="1"/>
    <col min="4" max="4" width="10.08984375" style="102" customWidth="1"/>
    <col min="5" max="5" width="12" style="96" customWidth="1"/>
    <col min="6" max="6" width="20" style="96" customWidth="1"/>
    <col min="7" max="7" width="20.08984375" style="96" customWidth="1"/>
    <col min="8" max="8" width="9" style="96" customWidth="1"/>
    <col min="9" max="9" width="5.26953125" style="102" customWidth="1"/>
    <col min="10" max="10" width="5.6328125" style="96" customWidth="1"/>
    <col min="11" max="11" width="9.90625" style="96" customWidth="1"/>
    <col min="12" max="12" width="10.6328125" style="96" customWidth="1"/>
    <col min="13" max="13" width="11.7265625" style="96" customWidth="1"/>
    <col min="14" max="14" width="13.81640625" style="96" customWidth="1"/>
    <col min="15" max="15" width="5.26953125" style="96" customWidth="1"/>
    <col min="16" max="16" width="7.6328125" style="96" customWidth="1"/>
    <col min="17" max="17" width="18.26953125" style="96" customWidth="1"/>
    <col min="18" max="18" width="10.26953125" style="96" customWidth="1"/>
    <col min="19" max="19" width="2.90625" style="96" customWidth="1"/>
    <col min="20" max="16384" width="8.7265625" style="96"/>
  </cols>
  <sheetData>
    <row r="1" spans="1:19" customFormat="1" x14ac:dyDescent="0.35">
      <c r="A1" s="63" t="s">
        <v>2</v>
      </c>
      <c r="B1" s="38"/>
      <c r="C1" s="38"/>
      <c r="D1" s="15"/>
      <c r="I1" s="15"/>
    </row>
    <row r="2" spans="1:19" customFormat="1" x14ac:dyDescent="0.35">
      <c r="A2" s="15"/>
      <c r="B2" s="38"/>
      <c r="C2" s="38"/>
      <c r="D2" s="15"/>
      <c r="I2" s="15"/>
    </row>
    <row r="3" spans="1:19" customFormat="1" x14ac:dyDescent="0.35">
      <c r="A3" s="63" t="s">
        <v>3</v>
      </c>
      <c r="B3" s="38"/>
      <c r="C3" s="38"/>
      <c r="D3" s="15"/>
      <c r="I3" s="15"/>
    </row>
    <row r="4" spans="1:19" customFormat="1" x14ac:dyDescent="0.35">
      <c r="A4" s="15"/>
      <c r="B4" s="38"/>
      <c r="C4" s="38"/>
      <c r="D4" s="15"/>
      <c r="I4" s="15"/>
    </row>
    <row r="5" spans="1:19" customFormat="1" ht="29" x14ac:dyDescent="0.35">
      <c r="A5" s="1" t="s">
        <v>6</v>
      </c>
      <c r="B5" s="37" t="s">
        <v>112</v>
      </c>
      <c r="C5" s="74" t="s">
        <v>294</v>
      </c>
      <c r="D5" s="19" t="s">
        <v>84</v>
      </c>
      <c r="E5" s="1" t="s">
        <v>11</v>
      </c>
      <c r="F5" s="1" t="s">
        <v>12</v>
      </c>
      <c r="G5" s="5" t="s">
        <v>178</v>
      </c>
      <c r="H5" s="54" t="s">
        <v>32</v>
      </c>
      <c r="I5" s="19" t="s">
        <v>104</v>
      </c>
      <c r="J5" s="5" t="s">
        <v>105</v>
      </c>
      <c r="K5" s="1" t="s">
        <v>4</v>
      </c>
      <c r="L5" s="19" t="s">
        <v>5</v>
      </c>
      <c r="M5" s="20" t="s">
        <v>7</v>
      </c>
      <c r="N5" s="2" t="s">
        <v>8</v>
      </c>
      <c r="O5" s="18" t="s">
        <v>27</v>
      </c>
      <c r="P5" s="8" t="s">
        <v>91</v>
      </c>
      <c r="Q5" s="2" t="s">
        <v>9</v>
      </c>
      <c r="R5" s="2" t="s">
        <v>26</v>
      </c>
    </row>
    <row r="6" spans="1:19" customFormat="1" ht="43.5" x14ac:dyDescent="0.35">
      <c r="A6" s="34">
        <v>43818</v>
      </c>
      <c r="B6" s="39">
        <f>MONTH(A6)</f>
        <v>12</v>
      </c>
      <c r="C6" s="75">
        <f>YEAR(A6)</f>
        <v>2019</v>
      </c>
      <c r="D6" s="115" t="s">
        <v>330</v>
      </c>
      <c r="E6" s="116" t="s">
        <v>10</v>
      </c>
      <c r="F6" s="44" t="s">
        <v>14</v>
      </c>
      <c r="G6" s="46" t="s">
        <v>14</v>
      </c>
      <c r="H6" s="55" t="s">
        <v>47</v>
      </c>
      <c r="I6" s="16">
        <v>5</v>
      </c>
      <c r="J6" s="6" t="s">
        <v>0</v>
      </c>
      <c r="K6" s="7">
        <v>1226.25</v>
      </c>
      <c r="L6" s="83">
        <f>SUM(I6*K6)</f>
        <v>6131.25</v>
      </c>
      <c r="M6" s="11">
        <f>SUM(L6)</f>
        <v>6131.25</v>
      </c>
      <c r="N6" s="25" t="s">
        <v>162</v>
      </c>
      <c r="O6" s="3">
        <f>1+1+1+1+1</f>
        <v>5</v>
      </c>
      <c r="P6" s="9">
        <f t="shared" ref="P6:P37" si="0">I6-O6</f>
        <v>0</v>
      </c>
      <c r="Q6" s="24" t="s">
        <v>166</v>
      </c>
      <c r="R6" s="24" t="s">
        <v>89</v>
      </c>
    </row>
    <row r="7" spans="1:19" customFormat="1" ht="29" x14ac:dyDescent="0.35">
      <c r="A7" s="34">
        <v>43818</v>
      </c>
      <c r="B7" s="39">
        <f>MONTH(A7)</f>
        <v>12</v>
      </c>
      <c r="C7" s="75">
        <f t="shared" ref="C7:C70" si="1">YEAR(A7)</f>
        <v>2019</v>
      </c>
      <c r="D7" s="115" t="s">
        <v>330</v>
      </c>
      <c r="E7" s="116" t="s">
        <v>10</v>
      </c>
      <c r="F7" s="44" t="s">
        <v>15</v>
      </c>
      <c r="G7" s="46" t="s">
        <v>15</v>
      </c>
      <c r="H7" s="55" t="s">
        <v>47</v>
      </c>
      <c r="I7" s="16">
        <v>1</v>
      </c>
      <c r="J7" s="6" t="s">
        <v>0</v>
      </c>
      <c r="K7" s="7">
        <v>1226.25</v>
      </c>
      <c r="L7" s="83">
        <f t="shared" ref="L7" si="2">SUM(I7*K7)</f>
        <v>1226.25</v>
      </c>
      <c r="M7" s="11">
        <f>SUM(M6+L7)</f>
        <v>7357.5</v>
      </c>
      <c r="N7" s="26" t="s">
        <v>163</v>
      </c>
      <c r="O7" s="3">
        <v>1</v>
      </c>
      <c r="P7" s="9">
        <f t="shared" si="0"/>
        <v>0</v>
      </c>
      <c r="Q7" s="23" t="s">
        <v>165</v>
      </c>
      <c r="R7" s="23" t="s">
        <v>87</v>
      </c>
    </row>
    <row r="8" spans="1:19" customFormat="1" ht="43.5" x14ac:dyDescent="0.35">
      <c r="A8" s="34">
        <v>43818</v>
      </c>
      <c r="B8" s="39">
        <f>MONTH(A8)</f>
        <v>12</v>
      </c>
      <c r="C8" s="75">
        <f t="shared" si="1"/>
        <v>2019</v>
      </c>
      <c r="D8" s="115" t="s">
        <v>330</v>
      </c>
      <c r="E8" s="116" t="s">
        <v>10</v>
      </c>
      <c r="F8" s="45" t="s">
        <v>13</v>
      </c>
      <c r="G8" s="47" t="s">
        <v>176</v>
      </c>
      <c r="H8" s="55" t="s">
        <v>47</v>
      </c>
      <c r="I8" s="16">
        <v>16</v>
      </c>
      <c r="J8" s="6" t="s">
        <v>1</v>
      </c>
      <c r="K8" s="7">
        <v>173.9</v>
      </c>
      <c r="L8" s="83">
        <f>SUM(I8*K8)</f>
        <v>2782.4</v>
      </c>
      <c r="M8" s="11">
        <f>SUM(M7+L8)</f>
        <v>10139.9</v>
      </c>
      <c r="N8" s="27" t="s">
        <v>120</v>
      </c>
      <c r="O8" s="3">
        <f>6+3+4+2+1</f>
        <v>16</v>
      </c>
      <c r="P8" s="9">
        <f t="shared" si="0"/>
        <v>0</v>
      </c>
      <c r="Q8" s="23" t="s">
        <v>119</v>
      </c>
      <c r="R8" s="23"/>
    </row>
    <row r="9" spans="1:19" customFormat="1" ht="43.5" x14ac:dyDescent="0.35">
      <c r="A9" s="34">
        <v>43818</v>
      </c>
      <c r="B9" s="39">
        <f t="shared" ref="B9:B64" si="3">MONTH(A9)</f>
        <v>12</v>
      </c>
      <c r="C9" s="75">
        <f t="shared" si="1"/>
        <v>2019</v>
      </c>
      <c r="D9" s="115" t="s">
        <v>330</v>
      </c>
      <c r="E9" s="116" t="s">
        <v>10</v>
      </c>
      <c r="F9" s="44" t="s">
        <v>58</v>
      </c>
      <c r="G9" s="46" t="s">
        <v>179</v>
      </c>
      <c r="H9" s="55" t="s">
        <v>47</v>
      </c>
      <c r="I9" s="16">
        <v>4</v>
      </c>
      <c r="J9" s="6" t="s">
        <v>1</v>
      </c>
      <c r="K9" s="7">
        <v>141</v>
      </c>
      <c r="L9" s="83">
        <f t="shared" ref="L9:L16" si="4">SUM(I9*K9)</f>
        <v>564</v>
      </c>
      <c r="M9" s="11">
        <f>SUM(M8+L9)</f>
        <v>10703.9</v>
      </c>
      <c r="N9" s="22" t="s">
        <v>131</v>
      </c>
      <c r="O9" s="3">
        <f>2+1+1</f>
        <v>4</v>
      </c>
      <c r="P9" s="9">
        <f t="shared" si="0"/>
        <v>0</v>
      </c>
      <c r="Q9" s="23" t="s">
        <v>132</v>
      </c>
      <c r="R9" s="23"/>
    </row>
    <row r="10" spans="1:19" customFormat="1" ht="29" x14ac:dyDescent="0.35">
      <c r="A10" s="34">
        <v>43818</v>
      </c>
      <c r="B10" s="39">
        <f t="shared" si="3"/>
        <v>12</v>
      </c>
      <c r="C10" s="75">
        <f t="shared" si="1"/>
        <v>2019</v>
      </c>
      <c r="D10" s="115" t="s">
        <v>330</v>
      </c>
      <c r="E10" s="116" t="s">
        <v>10</v>
      </c>
      <c r="F10" s="44" t="s">
        <v>16</v>
      </c>
      <c r="G10" s="46" t="s">
        <v>16</v>
      </c>
      <c r="H10" s="53" t="s">
        <v>47</v>
      </c>
      <c r="I10" s="16">
        <v>10</v>
      </c>
      <c r="J10" s="10" t="s">
        <v>18</v>
      </c>
      <c r="K10" s="7">
        <v>180</v>
      </c>
      <c r="L10" s="83">
        <f t="shared" si="4"/>
        <v>1800</v>
      </c>
      <c r="M10" s="11">
        <f>SUM(M9+L10)</f>
        <v>12503.9</v>
      </c>
      <c r="N10" s="26" t="s">
        <v>167</v>
      </c>
      <c r="O10" s="3">
        <f>9+1</f>
        <v>10</v>
      </c>
      <c r="P10" s="9">
        <f t="shared" si="0"/>
        <v>0</v>
      </c>
      <c r="Q10" s="23" t="s">
        <v>168</v>
      </c>
      <c r="R10" s="23" t="s">
        <v>90</v>
      </c>
      <c r="S10" s="31"/>
    </row>
    <row r="11" spans="1:19" customFormat="1" ht="29" x14ac:dyDescent="0.35">
      <c r="A11" s="41">
        <v>43984</v>
      </c>
      <c r="B11" s="39">
        <f t="shared" si="3"/>
        <v>6</v>
      </c>
      <c r="C11" s="75">
        <f t="shared" si="1"/>
        <v>2020</v>
      </c>
      <c r="D11" s="117" t="s">
        <v>74</v>
      </c>
      <c r="E11" s="116" t="s">
        <v>10</v>
      </c>
      <c r="F11" s="44" t="s">
        <v>15</v>
      </c>
      <c r="G11" s="46" t="s">
        <v>15</v>
      </c>
      <c r="H11" s="55" t="s">
        <v>47</v>
      </c>
      <c r="I11" s="16">
        <v>1</v>
      </c>
      <c r="J11" s="6" t="s">
        <v>0</v>
      </c>
      <c r="K11" s="12">
        <v>1181.25</v>
      </c>
      <c r="L11" s="84">
        <f t="shared" si="4"/>
        <v>1181.25</v>
      </c>
      <c r="M11" s="11">
        <f>SUM(M10+L11)</f>
        <v>13685.15</v>
      </c>
      <c r="N11" s="28" t="s">
        <v>163</v>
      </c>
      <c r="O11" s="3">
        <v>1</v>
      </c>
      <c r="P11" s="9">
        <f t="shared" si="0"/>
        <v>0</v>
      </c>
      <c r="Q11" s="23" t="s">
        <v>165</v>
      </c>
      <c r="R11" s="85" t="s">
        <v>92</v>
      </c>
    </row>
    <row r="12" spans="1:19" customFormat="1" ht="29" x14ac:dyDescent="0.35">
      <c r="A12" s="41">
        <v>43984</v>
      </c>
      <c r="B12" s="39">
        <f t="shared" si="3"/>
        <v>6</v>
      </c>
      <c r="C12" s="75">
        <f t="shared" si="1"/>
        <v>2020</v>
      </c>
      <c r="D12" s="117" t="s">
        <v>74</v>
      </c>
      <c r="E12" s="116" t="s">
        <v>10</v>
      </c>
      <c r="F12" s="45" t="s">
        <v>17</v>
      </c>
      <c r="G12" s="47" t="s">
        <v>17</v>
      </c>
      <c r="H12" s="55" t="s">
        <v>47</v>
      </c>
      <c r="I12" s="17">
        <v>2</v>
      </c>
      <c r="J12" s="13" t="s">
        <v>18</v>
      </c>
      <c r="K12" s="12">
        <v>176</v>
      </c>
      <c r="L12" s="84">
        <f t="shared" si="4"/>
        <v>352</v>
      </c>
      <c r="M12" s="11">
        <f t="shared" ref="M12:M16" si="5">SUM(M11+L12)</f>
        <v>14037.15</v>
      </c>
      <c r="N12" s="26" t="s">
        <v>22</v>
      </c>
      <c r="O12" s="3">
        <v>2</v>
      </c>
      <c r="P12" s="9">
        <f t="shared" si="0"/>
        <v>0</v>
      </c>
      <c r="Q12" s="23" t="s">
        <v>46</v>
      </c>
      <c r="R12" s="23"/>
    </row>
    <row r="13" spans="1:19" customFormat="1" ht="43.5" x14ac:dyDescent="0.35">
      <c r="A13" s="41">
        <v>43984</v>
      </c>
      <c r="B13" s="39">
        <f t="shared" si="3"/>
        <v>6</v>
      </c>
      <c r="C13" s="75">
        <f t="shared" si="1"/>
        <v>2020</v>
      </c>
      <c r="D13" s="117" t="s">
        <v>74</v>
      </c>
      <c r="E13" s="116" t="s">
        <v>10</v>
      </c>
      <c r="F13" s="45" t="s">
        <v>93</v>
      </c>
      <c r="G13" s="47" t="s">
        <v>177</v>
      </c>
      <c r="H13" s="55" t="s">
        <v>47</v>
      </c>
      <c r="I13" s="17">
        <v>16</v>
      </c>
      <c r="J13" s="13" t="s">
        <v>1</v>
      </c>
      <c r="K13" s="12">
        <v>253.8</v>
      </c>
      <c r="L13" s="84">
        <f t="shared" si="4"/>
        <v>4060.8</v>
      </c>
      <c r="M13" s="11">
        <f t="shared" si="5"/>
        <v>18097.95</v>
      </c>
      <c r="N13" s="23" t="s">
        <v>156</v>
      </c>
      <c r="O13" s="3">
        <f>1+4+3+5+1+2</f>
        <v>16</v>
      </c>
      <c r="P13" s="9">
        <f t="shared" si="0"/>
        <v>0</v>
      </c>
      <c r="Q13" s="23" t="s">
        <v>157</v>
      </c>
      <c r="R13" s="23"/>
    </row>
    <row r="14" spans="1:19" customFormat="1" ht="43.5" x14ac:dyDescent="0.35">
      <c r="A14" s="41">
        <v>43984</v>
      </c>
      <c r="B14" s="39">
        <f t="shared" si="3"/>
        <v>6</v>
      </c>
      <c r="C14" s="75">
        <f t="shared" si="1"/>
        <v>2020</v>
      </c>
      <c r="D14" s="117" t="s">
        <v>74</v>
      </c>
      <c r="E14" s="116" t="s">
        <v>10</v>
      </c>
      <c r="F14" s="45" t="s">
        <v>19</v>
      </c>
      <c r="G14" s="47" t="s">
        <v>19</v>
      </c>
      <c r="H14" s="55" t="s">
        <v>47</v>
      </c>
      <c r="I14" s="17">
        <v>12</v>
      </c>
      <c r="J14" s="13" t="s">
        <v>25</v>
      </c>
      <c r="K14" s="12">
        <v>77.5</v>
      </c>
      <c r="L14" s="84">
        <f t="shared" si="4"/>
        <v>930</v>
      </c>
      <c r="M14" s="11">
        <f t="shared" si="5"/>
        <v>19027.95</v>
      </c>
      <c r="N14" s="22" t="s">
        <v>100</v>
      </c>
      <c r="O14" s="3">
        <f>2+2+1+1+4+2</f>
        <v>12</v>
      </c>
      <c r="P14" s="9">
        <f t="shared" si="0"/>
        <v>0</v>
      </c>
      <c r="Q14" s="23" t="s">
        <v>101</v>
      </c>
      <c r="R14" s="23"/>
    </row>
    <row r="15" spans="1:19" customFormat="1" x14ac:dyDescent="0.35">
      <c r="A15" s="41">
        <v>43992</v>
      </c>
      <c r="B15" s="39">
        <f t="shared" si="3"/>
        <v>6</v>
      </c>
      <c r="C15" s="75">
        <f t="shared" si="1"/>
        <v>2020</v>
      </c>
      <c r="D15" s="118">
        <v>100620</v>
      </c>
      <c r="E15" s="119" t="s">
        <v>20</v>
      </c>
      <c r="F15" s="59" t="s">
        <v>21</v>
      </c>
      <c r="G15" s="60" t="s">
        <v>21</v>
      </c>
      <c r="H15" s="53" t="s">
        <v>47</v>
      </c>
      <c r="I15" s="17">
        <v>1</v>
      </c>
      <c r="J15" s="14" t="s">
        <v>0</v>
      </c>
      <c r="K15" s="12">
        <v>470</v>
      </c>
      <c r="L15" s="84">
        <f t="shared" si="4"/>
        <v>470</v>
      </c>
      <c r="M15" s="11">
        <f t="shared" si="5"/>
        <v>19497.95</v>
      </c>
      <c r="N15" s="26" t="s">
        <v>24</v>
      </c>
      <c r="O15" s="3">
        <v>1</v>
      </c>
      <c r="P15" s="9">
        <f t="shared" si="0"/>
        <v>0</v>
      </c>
      <c r="Q15" s="23" t="s">
        <v>23</v>
      </c>
      <c r="R15" s="23"/>
    </row>
    <row r="16" spans="1:19" customFormat="1" ht="29" x14ac:dyDescent="0.35">
      <c r="A16" s="41">
        <v>44016</v>
      </c>
      <c r="B16" s="39">
        <f t="shared" si="3"/>
        <v>7</v>
      </c>
      <c r="C16" s="75">
        <f t="shared" si="1"/>
        <v>2020</v>
      </c>
      <c r="D16" s="117" t="s">
        <v>75</v>
      </c>
      <c r="E16" s="116" t="s">
        <v>10</v>
      </c>
      <c r="F16" s="59" t="s">
        <v>29</v>
      </c>
      <c r="G16" s="60" t="s">
        <v>29</v>
      </c>
      <c r="H16" s="55" t="s">
        <v>47</v>
      </c>
      <c r="I16" s="17">
        <v>4</v>
      </c>
      <c r="J16" s="14" t="s">
        <v>0</v>
      </c>
      <c r="K16" s="12">
        <v>1155</v>
      </c>
      <c r="L16" s="84">
        <f t="shared" si="4"/>
        <v>4620</v>
      </c>
      <c r="M16" s="11">
        <f t="shared" si="5"/>
        <v>24117.95</v>
      </c>
      <c r="N16" s="28" t="s">
        <v>43</v>
      </c>
      <c r="O16" s="3">
        <f>1+2+1</f>
        <v>4</v>
      </c>
      <c r="P16" s="9">
        <f t="shared" si="0"/>
        <v>0</v>
      </c>
      <c r="Q16" s="23" t="s">
        <v>42</v>
      </c>
      <c r="R16" s="23"/>
    </row>
    <row r="17" spans="1:19" customFormat="1" ht="43.5" x14ac:dyDescent="0.35">
      <c r="A17" s="41">
        <v>44016</v>
      </c>
      <c r="B17" s="39">
        <f t="shared" si="3"/>
        <v>7</v>
      </c>
      <c r="C17" s="75">
        <f t="shared" si="1"/>
        <v>2020</v>
      </c>
      <c r="D17" s="117" t="s">
        <v>75</v>
      </c>
      <c r="E17" s="116" t="s">
        <v>10</v>
      </c>
      <c r="F17" s="45" t="s">
        <v>13</v>
      </c>
      <c r="G17" s="47" t="s">
        <v>176</v>
      </c>
      <c r="H17" s="55" t="s">
        <v>47</v>
      </c>
      <c r="I17" s="17">
        <v>20</v>
      </c>
      <c r="J17" s="14" t="s">
        <v>1</v>
      </c>
      <c r="K17" s="12">
        <v>173.9</v>
      </c>
      <c r="L17" s="84">
        <f t="shared" ref="L17:L82" si="6">SUM(I17*K17)</f>
        <v>3478</v>
      </c>
      <c r="M17" s="11">
        <f t="shared" ref="M17:M83" si="7">SUM(M16+L17)</f>
        <v>27595.95</v>
      </c>
      <c r="N17" s="28" t="s">
        <v>152</v>
      </c>
      <c r="O17" s="3">
        <f>4+2+4+3+4+3</f>
        <v>20</v>
      </c>
      <c r="P17" s="9">
        <f t="shared" si="0"/>
        <v>0</v>
      </c>
      <c r="Q17" s="23" t="s">
        <v>151</v>
      </c>
      <c r="R17" s="23"/>
    </row>
    <row r="18" spans="1:19" customFormat="1" ht="44.5" customHeight="1" x14ac:dyDescent="0.35">
      <c r="A18" s="41">
        <v>44016</v>
      </c>
      <c r="B18" s="39">
        <f t="shared" si="3"/>
        <v>7</v>
      </c>
      <c r="C18" s="75">
        <f t="shared" si="1"/>
        <v>2020</v>
      </c>
      <c r="D18" s="117" t="s">
        <v>75</v>
      </c>
      <c r="E18" s="116" t="s">
        <v>10</v>
      </c>
      <c r="F18" s="59" t="s">
        <v>19</v>
      </c>
      <c r="G18" s="60" t="s">
        <v>19</v>
      </c>
      <c r="H18" s="55" t="s">
        <v>47</v>
      </c>
      <c r="I18" s="17">
        <v>20</v>
      </c>
      <c r="J18" s="14" t="s">
        <v>25</v>
      </c>
      <c r="K18" s="12">
        <v>77.5</v>
      </c>
      <c r="L18" s="84">
        <f t="shared" si="6"/>
        <v>1550</v>
      </c>
      <c r="M18" s="11">
        <f t="shared" si="7"/>
        <v>29145.95</v>
      </c>
      <c r="N18" s="28" t="s">
        <v>103</v>
      </c>
      <c r="O18" s="3">
        <f>3+4+4+2+4+3</f>
        <v>20</v>
      </c>
      <c r="P18" s="9">
        <f t="shared" si="0"/>
        <v>0</v>
      </c>
      <c r="Q18" s="23" t="s">
        <v>102</v>
      </c>
      <c r="R18" s="23"/>
    </row>
    <row r="19" spans="1:19" customFormat="1" ht="58" x14ac:dyDescent="0.35">
      <c r="A19" s="41">
        <v>44016</v>
      </c>
      <c r="B19" s="39">
        <f t="shared" si="3"/>
        <v>7</v>
      </c>
      <c r="C19" s="75">
        <f t="shared" si="1"/>
        <v>2020</v>
      </c>
      <c r="D19" s="117" t="s">
        <v>75</v>
      </c>
      <c r="E19" s="116" t="s">
        <v>10</v>
      </c>
      <c r="F19" s="59" t="s">
        <v>28</v>
      </c>
      <c r="G19" s="62" t="s">
        <v>28</v>
      </c>
      <c r="H19" s="53" t="s">
        <v>47</v>
      </c>
      <c r="I19" s="17">
        <v>40</v>
      </c>
      <c r="J19" s="4" t="s">
        <v>30</v>
      </c>
      <c r="K19" s="12">
        <v>17.5</v>
      </c>
      <c r="L19" s="84">
        <f t="shared" si="6"/>
        <v>700</v>
      </c>
      <c r="M19" s="11">
        <f t="shared" si="7"/>
        <v>29845.95</v>
      </c>
      <c r="N19" s="28" t="s">
        <v>203</v>
      </c>
      <c r="O19" s="3">
        <f>4+5+5+8+5+5+3+5</f>
        <v>40</v>
      </c>
      <c r="P19" s="9">
        <f t="shared" si="0"/>
        <v>0</v>
      </c>
      <c r="Q19" s="23" t="s">
        <v>204</v>
      </c>
      <c r="R19" s="23"/>
    </row>
    <row r="20" spans="1:19" customFormat="1" ht="58" x14ac:dyDescent="0.35">
      <c r="A20" s="41">
        <v>44020</v>
      </c>
      <c r="B20" s="39">
        <f t="shared" si="3"/>
        <v>7</v>
      </c>
      <c r="C20" s="75">
        <f t="shared" si="1"/>
        <v>2020</v>
      </c>
      <c r="D20" s="117" t="s">
        <v>76</v>
      </c>
      <c r="E20" s="116" t="s">
        <v>10</v>
      </c>
      <c r="F20" s="59" t="s">
        <v>29</v>
      </c>
      <c r="G20" s="60" t="s">
        <v>29</v>
      </c>
      <c r="H20" s="55" t="s">
        <v>47</v>
      </c>
      <c r="I20" s="17">
        <v>8</v>
      </c>
      <c r="J20" s="21" t="s">
        <v>0</v>
      </c>
      <c r="K20" s="12">
        <v>1155</v>
      </c>
      <c r="L20" s="84">
        <f t="shared" si="6"/>
        <v>9240</v>
      </c>
      <c r="M20" s="11">
        <f t="shared" si="7"/>
        <v>39085.949999999997</v>
      </c>
      <c r="N20" s="22" t="s">
        <v>57</v>
      </c>
      <c r="O20" s="3">
        <f>1+1+2+1+1+1+1</f>
        <v>8</v>
      </c>
      <c r="P20" s="9">
        <f t="shared" si="0"/>
        <v>0</v>
      </c>
      <c r="Q20" s="23" t="s">
        <v>56</v>
      </c>
      <c r="R20" s="23"/>
    </row>
    <row r="21" spans="1:19" customFormat="1" ht="29" x14ac:dyDescent="0.35">
      <c r="A21" s="41">
        <v>44020</v>
      </c>
      <c r="B21" s="39">
        <f t="shared" si="3"/>
        <v>7</v>
      </c>
      <c r="C21" s="75">
        <f t="shared" si="1"/>
        <v>2020</v>
      </c>
      <c r="D21" s="117" t="s">
        <v>76</v>
      </c>
      <c r="E21" s="116" t="s">
        <v>10</v>
      </c>
      <c r="F21" s="59" t="s">
        <v>31</v>
      </c>
      <c r="G21" s="60" t="s">
        <v>31</v>
      </c>
      <c r="H21" s="55" t="s">
        <v>47</v>
      </c>
      <c r="I21" s="17">
        <v>2</v>
      </c>
      <c r="J21" s="21" t="s">
        <v>0</v>
      </c>
      <c r="K21" s="12">
        <v>1155</v>
      </c>
      <c r="L21" s="84">
        <f t="shared" si="6"/>
        <v>2310</v>
      </c>
      <c r="M21" s="11">
        <f t="shared" si="7"/>
        <v>41395.949999999997</v>
      </c>
      <c r="N21" s="22" t="s">
        <v>68</v>
      </c>
      <c r="O21" s="3">
        <f>1+1</f>
        <v>2</v>
      </c>
      <c r="P21" s="9">
        <f t="shared" si="0"/>
        <v>0</v>
      </c>
      <c r="Q21" s="23" t="s">
        <v>69</v>
      </c>
      <c r="R21" s="23"/>
    </row>
    <row r="22" spans="1:19" customFormat="1" ht="29" x14ac:dyDescent="0.35">
      <c r="A22" s="41">
        <v>44020</v>
      </c>
      <c r="B22" s="39">
        <f t="shared" si="3"/>
        <v>7</v>
      </c>
      <c r="C22" s="75">
        <f t="shared" si="1"/>
        <v>2020</v>
      </c>
      <c r="D22" s="117" t="s">
        <v>77</v>
      </c>
      <c r="E22" s="116" t="s">
        <v>10</v>
      </c>
      <c r="F22" s="44" t="s">
        <v>14</v>
      </c>
      <c r="G22" s="46" t="s">
        <v>14</v>
      </c>
      <c r="H22" s="55" t="s">
        <v>47</v>
      </c>
      <c r="I22" s="17">
        <v>2</v>
      </c>
      <c r="J22" s="21" t="s">
        <v>0</v>
      </c>
      <c r="K22" s="12">
        <v>1181.25</v>
      </c>
      <c r="L22" s="84">
        <f t="shared" si="6"/>
        <v>2362.5</v>
      </c>
      <c r="M22" s="11">
        <f t="shared" si="7"/>
        <v>43758.45</v>
      </c>
      <c r="N22" s="22" t="s">
        <v>298</v>
      </c>
      <c r="O22" s="3">
        <v>2</v>
      </c>
      <c r="P22" s="9">
        <f t="shared" si="0"/>
        <v>0</v>
      </c>
      <c r="Q22" s="23" t="s">
        <v>299</v>
      </c>
      <c r="R22" s="23" t="s">
        <v>88</v>
      </c>
    </row>
    <row r="23" spans="1:19" customFormat="1" ht="29" x14ac:dyDescent="0.35">
      <c r="A23" s="41">
        <v>44020</v>
      </c>
      <c r="B23" s="39">
        <f t="shared" si="3"/>
        <v>7</v>
      </c>
      <c r="C23" s="75">
        <f t="shared" si="1"/>
        <v>2020</v>
      </c>
      <c r="D23" s="117" t="s">
        <v>77</v>
      </c>
      <c r="E23" s="116" t="s">
        <v>10</v>
      </c>
      <c r="F23" s="44" t="s">
        <v>15</v>
      </c>
      <c r="G23" s="46" t="s">
        <v>15</v>
      </c>
      <c r="H23" s="55" t="s">
        <v>47</v>
      </c>
      <c r="I23" s="17">
        <v>1</v>
      </c>
      <c r="J23" s="21" t="s">
        <v>0</v>
      </c>
      <c r="K23" s="12">
        <v>1181.25</v>
      </c>
      <c r="L23" s="84">
        <f t="shared" si="6"/>
        <v>1181.25</v>
      </c>
      <c r="M23" s="11">
        <f t="shared" si="7"/>
        <v>44939.7</v>
      </c>
      <c r="N23" s="22" t="s">
        <v>298</v>
      </c>
      <c r="O23" s="3">
        <v>1</v>
      </c>
      <c r="P23" s="9">
        <f t="shared" si="0"/>
        <v>0</v>
      </c>
      <c r="Q23" s="23" t="s">
        <v>300</v>
      </c>
      <c r="R23" s="23" t="s">
        <v>87</v>
      </c>
    </row>
    <row r="24" spans="1:19" customFormat="1" ht="29" x14ac:dyDescent="0.35">
      <c r="A24" s="41">
        <v>44020</v>
      </c>
      <c r="B24" s="39">
        <f t="shared" si="3"/>
        <v>7</v>
      </c>
      <c r="C24" s="75">
        <f t="shared" si="1"/>
        <v>2020</v>
      </c>
      <c r="D24" s="117" t="s">
        <v>77</v>
      </c>
      <c r="E24" s="116" t="s">
        <v>10</v>
      </c>
      <c r="F24" s="44" t="s">
        <v>16</v>
      </c>
      <c r="G24" s="46" t="s">
        <v>16</v>
      </c>
      <c r="H24" s="53" t="s">
        <v>47</v>
      </c>
      <c r="I24" s="17">
        <v>10</v>
      </c>
      <c r="J24" s="21" t="s">
        <v>18</v>
      </c>
      <c r="K24" s="12">
        <v>172</v>
      </c>
      <c r="L24" s="84">
        <f t="shared" si="6"/>
        <v>1720</v>
      </c>
      <c r="M24" s="11">
        <f t="shared" si="7"/>
        <v>46659.7</v>
      </c>
      <c r="N24" s="28" t="s">
        <v>169</v>
      </c>
      <c r="O24" s="3">
        <f>4+4+2</f>
        <v>10</v>
      </c>
      <c r="P24" s="9">
        <f t="shared" si="0"/>
        <v>0</v>
      </c>
      <c r="Q24" s="23" t="s">
        <v>170</v>
      </c>
      <c r="R24" s="23"/>
    </row>
    <row r="25" spans="1:19" customFormat="1" x14ac:dyDescent="0.35">
      <c r="A25" s="41">
        <v>44026</v>
      </c>
      <c r="B25" s="39">
        <f t="shared" si="3"/>
        <v>7</v>
      </c>
      <c r="C25" s="75">
        <f t="shared" si="1"/>
        <v>2020</v>
      </c>
      <c r="D25" s="117" t="s">
        <v>78</v>
      </c>
      <c r="E25" s="116" t="s">
        <v>10</v>
      </c>
      <c r="F25" s="59" t="s">
        <v>33</v>
      </c>
      <c r="G25" s="60" t="s">
        <v>33</v>
      </c>
      <c r="H25" s="56" t="s">
        <v>51</v>
      </c>
      <c r="I25" s="17">
        <v>1</v>
      </c>
      <c r="J25" s="10" t="s">
        <v>18</v>
      </c>
      <c r="K25" s="12">
        <v>825</v>
      </c>
      <c r="L25" s="84">
        <f t="shared" si="6"/>
        <v>825</v>
      </c>
      <c r="M25" s="11">
        <f t="shared" si="7"/>
        <v>47484.7</v>
      </c>
      <c r="N25" s="26" t="s">
        <v>44</v>
      </c>
      <c r="O25" s="3">
        <v>1</v>
      </c>
      <c r="P25" s="9">
        <f t="shared" si="0"/>
        <v>0</v>
      </c>
      <c r="Q25" s="23" t="s">
        <v>34</v>
      </c>
      <c r="R25" s="23"/>
    </row>
    <row r="26" spans="1:19" customFormat="1" ht="29" x14ac:dyDescent="0.35">
      <c r="A26" s="41">
        <v>44034</v>
      </c>
      <c r="B26" s="39">
        <f t="shared" si="3"/>
        <v>7</v>
      </c>
      <c r="C26" s="75">
        <f t="shared" si="1"/>
        <v>2020</v>
      </c>
      <c r="D26" s="117" t="s">
        <v>108</v>
      </c>
      <c r="E26" s="119" t="s">
        <v>36</v>
      </c>
      <c r="F26" s="59" t="s">
        <v>37</v>
      </c>
      <c r="G26" s="60" t="s">
        <v>37</v>
      </c>
      <c r="H26" s="56" t="s">
        <v>51</v>
      </c>
      <c r="I26" s="17">
        <v>1</v>
      </c>
      <c r="J26" s="10" t="s">
        <v>1</v>
      </c>
      <c r="K26" s="12">
        <v>180</v>
      </c>
      <c r="L26" s="84">
        <f t="shared" si="6"/>
        <v>180</v>
      </c>
      <c r="M26" s="11">
        <f t="shared" si="7"/>
        <v>47664.7</v>
      </c>
      <c r="N26" s="29" t="s">
        <v>45</v>
      </c>
      <c r="O26" s="3">
        <v>1</v>
      </c>
      <c r="P26" s="9">
        <f t="shared" si="0"/>
        <v>0</v>
      </c>
      <c r="Q26" s="23" t="s">
        <v>35</v>
      </c>
      <c r="R26" s="23"/>
    </row>
    <row r="27" spans="1:19" customFormat="1" ht="29" x14ac:dyDescent="0.35">
      <c r="A27" s="41">
        <v>44055</v>
      </c>
      <c r="B27" s="39">
        <f t="shared" si="3"/>
        <v>8</v>
      </c>
      <c r="C27" s="75">
        <f t="shared" si="1"/>
        <v>2020</v>
      </c>
      <c r="D27" s="117" t="s">
        <v>109</v>
      </c>
      <c r="E27" s="119" t="s">
        <v>36</v>
      </c>
      <c r="F27" s="59" t="s">
        <v>37</v>
      </c>
      <c r="G27" s="60" t="s">
        <v>37</v>
      </c>
      <c r="H27" s="56" t="s">
        <v>51</v>
      </c>
      <c r="I27" s="17">
        <v>2</v>
      </c>
      <c r="J27" s="10" t="s">
        <v>1</v>
      </c>
      <c r="K27" s="12">
        <v>180</v>
      </c>
      <c r="L27" s="84">
        <f t="shared" si="6"/>
        <v>360</v>
      </c>
      <c r="M27" s="11">
        <f t="shared" si="7"/>
        <v>48024.7</v>
      </c>
      <c r="N27" s="29" t="s">
        <v>48</v>
      </c>
      <c r="O27" s="3">
        <v>2</v>
      </c>
      <c r="P27" s="9">
        <f t="shared" si="0"/>
        <v>0</v>
      </c>
      <c r="Q27" s="23" t="s">
        <v>54</v>
      </c>
      <c r="R27" s="23"/>
    </row>
    <row r="28" spans="1:19" customFormat="1" ht="29" x14ac:dyDescent="0.35">
      <c r="A28" s="41">
        <v>44056</v>
      </c>
      <c r="B28" s="39">
        <f t="shared" si="3"/>
        <v>8</v>
      </c>
      <c r="C28" s="75">
        <f t="shared" si="1"/>
        <v>2020</v>
      </c>
      <c r="D28" s="117" t="s">
        <v>331</v>
      </c>
      <c r="E28" s="119" t="s">
        <v>10</v>
      </c>
      <c r="F28" s="59" t="s">
        <v>17</v>
      </c>
      <c r="G28" s="60" t="s">
        <v>17</v>
      </c>
      <c r="H28" s="55" t="s">
        <v>47</v>
      </c>
      <c r="I28" s="17">
        <v>4</v>
      </c>
      <c r="J28" s="10" t="s">
        <v>18</v>
      </c>
      <c r="K28" s="12">
        <v>176</v>
      </c>
      <c r="L28" s="84">
        <f t="shared" si="6"/>
        <v>704</v>
      </c>
      <c r="M28" s="11">
        <f t="shared" si="7"/>
        <v>48728.7</v>
      </c>
      <c r="N28" s="30" t="s">
        <v>48</v>
      </c>
      <c r="O28" s="3">
        <v>4</v>
      </c>
      <c r="P28" s="9">
        <f t="shared" si="0"/>
        <v>0</v>
      </c>
      <c r="Q28" s="23" t="s">
        <v>49</v>
      </c>
      <c r="R28" s="23"/>
    </row>
    <row r="29" spans="1:19" customFormat="1" ht="43.5" x14ac:dyDescent="0.35">
      <c r="A29" s="41">
        <v>44056</v>
      </c>
      <c r="B29" s="39">
        <f t="shared" si="3"/>
        <v>8</v>
      </c>
      <c r="C29" s="75">
        <f t="shared" si="1"/>
        <v>2020</v>
      </c>
      <c r="D29" s="117" t="s">
        <v>422</v>
      </c>
      <c r="E29" s="119" t="s">
        <v>10</v>
      </c>
      <c r="F29" s="59" t="s">
        <v>50</v>
      </c>
      <c r="G29" s="60" t="s">
        <v>180</v>
      </c>
      <c r="H29" s="55" t="s">
        <v>47</v>
      </c>
      <c r="I29" s="17">
        <v>4</v>
      </c>
      <c r="J29" s="10" t="s">
        <v>1</v>
      </c>
      <c r="K29" s="12">
        <v>253.69</v>
      </c>
      <c r="L29" s="84">
        <v>1015.2</v>
      </c>
      <c r="M29" s="11">
        <f t="shared" si="7"/>
        <v>49743.899999999994</v>
      </c>
      <c r="N29" s="30" t="s">
        <v>99</v>
      </c>
      <c r="O29" s="3">
        <f>3+1</f>
        <v>4</v>
      </c>
      <c r="P29" s="9">
        <f t="shared" si="0"/>
        <v>0</v>
      </c>
      <c r="Q29" s="36" t="s">
        <v>97</v>
      </c>
      <c r="R29" s="36" t="s">
        <v>73</v>
      </c>
      <c r="S29" s="33"/>
    </row>
    <row r="30" spans="1:19" customFormat="1" ht="29" x14ac:dyDescent="0.35">
      <c r="A30" s="41">
        <v>44056</v>
      </c>
      <c r="B30" s="39">
        <f t="shared" si="3"/>
        <v>8</v>
      </c>
      <c r="C30" s="75">
        <f t="shared" si="1"/>
        <v>2020</v>
      </c>
      <c r="D30" s="117" t="s">
        <v>79</v>
      </c>
      <c r="E30" s="119" t="s">
        <v>10</v>
      </c>
      <c r="F30" s="59" t="s">
        <v>29</v>
      </c>
      <c r="G30" s="60" t="s">
        <v>29</v>
      </c>
      <c r="H30" s="55" t="s">
        <v>47</v>
      </c>
      <c r="I30" s="17">
        <v>5</v>
      </c>
      <c r="J30" s="10" t="s">
        <v>0</v>
      </c>
      <c r="K30" s="12">
        <v>1155</v>
      </c>
      <c r="L30" s="84">
        <f t="shared" si="6"/>
        <v>5775</v>
      </c>
      <c r="M30" s="11">
        <f t="shared" si="7"/>
        <v>55518.899999999994</v>
      </c>
      <c r="N30" s="30" t="s">
        <v>59</v>
      </c>
      <c r="O30" s="3">
        <f>1+1+3</f>
        <v>5</v>
      </c>
      <c r="P30" s="9">
        <f t="shared" si="0"/>
        <v>0</v>
      </c>
      <c r="Q30" s="23" t="s">
        <v>60</v>
      </c>
      <c r="R30" s="23"/>
    </row>
    <row r="31" spans="1:19" customFormat="1" ht="29" x14ac:dyDescent="0.35">
      <c r="A31" s="41">
        <v>44065</v>
      </c>
      <c r="B31" s="39">
        <f t="shared" si="3"/>
        <v>8</v>
      </c>
      <c r="C31" s="75">
        <f t="shared" si="1"/>
        <v>2020</v>
      </c>
      <c r="D31" s="117" t="s">
        <v>80</v>
      </c>
      <c r="E31" s="119" t="s">
        <v>10</v>
      </c>
      <c r="F31" s="59" t="s">
        <v>55</v>
      </c>
      <c r="G31" s="60" t="s">
        <v>55</v>
      </c>
      <c r="H31" s="56" t="s">
        <v>51</v>
      </c>
      <c r="I31" s="17">
        <v>2</v>
      </c>
      <c r="J31" s="10" t="s">
        <v>18</v>
      </c>
      <c r="K31" s="12">
        <v>172</v>
      </c>
      <c r="L31" s="84">
        <f t="shared" si="6"/>
        <v>344</v>
      </c>
      <c r="M31" s="11">
        <f t="shared" si="7"/>
        <v>55862.899999999994</v>
      </c>
      <c r="N31" s="35" t="s">
        <v>53</v>
      </c>
      <c r="O31" s="3">
        <v>2</v>
      </c>
      <c r="P31" s="9">
        <f t="shared" si="0"/>
        <v>0</v>
      </c>
      <c r="Q31" s="23" t="s">
        <v>52</v>
      </c>
      <c r="R31" s="23"/>
    </row>
    <row r="32" spans="1:19" customFormat="1" x14ac:dyDescent="0.35">
      <c r="A32" s="41">
        <v>44070</v>
      </c>
      <c r="B32" s="39">
        <f t="shared" si="3"/>
        <v>8</v>
      </c>
      <c r="C32" s="75">
        <f t="shared" si="1"/>
        <v>2020</v>
      </c>
      <c r="D32" s="117" t="s">
        <v>82</v>
      </c>
      <c r="E32" s="119" t="s">
        <v>10</v>
      </c>
      <c r="F32" s="59" t="s">
        <v>29</v>
      </c>
      <c r="G32" s="60" t="s">
        <v>29</v>
      </c>
      <c r="H32" s="57" t="s">
        <v>47</v>
      </c>
      <c r="I32" s="17">
        <v>5</v>
      </c>
      <c r="J32" s="4" t="s">
        <v>0</v>
      </c>
      <c r="K32" s="12">
        <v>1155</v>
      </c>
      <c r="L32" s="84">
        <f t="shared" si="6"/>
        <v>5775</v>
      </c>
      <c r="M32" s="11">
        <f t="shared" si="7"/>
        <v>61637.899999999994</v>
      </c>
      <c r="N32" s="30" t="s">
        <v>72</v>
      </c>
      <c r="O32" s="3">
        <f>1+4</f>
        <v>5</v>
      </c>
      <c r="P32" s="9">
        <f t="shared" si="0"/>
        <v>0</v>
      </c>
      <c r="Q32" s="23" t="s">
        <v>67</v>
      </c>
      <c r="R32" s="23"/>
    </row>
    <row r="33" spans="1:18" customFormat="1" x14ac:dyDescent="0.35">
      <c r="A33" s="41">
        <v>44070</v>
      </c>
      <c r="B33" s="39">
        <f t="shared" si="3"/>
        <v>8</v>
      </c>
      <c r="C33" s="75">
        <f t="shared" si="1"/>
        <v>2020</v>
      </c>
      <c r="D33" s="117" t="s">
        <v>82</v>
      </c>
      <c r="E33" s="119" t="s">
        <v>10</v>
      </c>
      <c r="F33" s="59" t="s">
        <v>63</v>
      </c>
      <c r="G33" s="60" t="s">
        <v>63</v>
      </c>
      <c r="H33" s="57" t="s">
        <v>47</v>
      </c>
      <c r="I33" s="17">
        <v>1</v>
      </c>
      <c r="J33" s="21" t="s">
        <v>18</v>
      </c>
      <c r="K33" s="12">
        <v>345</v>
      </c>
      <c r="L33" s="84">
        <f t="shared" si="6"/>
        <v>345</v>
      </c>
      <c r="M33" s="11">
        <f t="shared" si="7"/>
        <v>61982.899999999994</v>
      </c>
      <c r="N33" s="30" t="s">
        <v>61</v>
      </c>
      <c r="O33" s="3">
        <v>1</v>
      </c>
      <c r="P33" s="9">
        <f t="shared" si="0"/>
        <v>0</v>
      </c>
      <c r="Q33" s="23" t="s">
        <v>62</v>
      </c>
      <c r="R33" s="23"/>
    </row>
    <row r="34" spans="1:18" customFormat="1" ht="59" customHeight="1" x14ac:dyDescent="0.35">
      <c r="A34" s="41">
        <v>44070</v>
      </c>
      <c r="B34" s="39">
        <f t="shared" si="3"/>
        <v>8</v>
      </c>
      <c r="C34" s="75">
        <f t="shared" si="1"/>
        <v>2020</v>
      </c>
      <c r="D34" s="117" t="s">
        <v>81</v>
      </c>
      <c r="E34" s="119" t="s">
        <v>10</v>
      </c>
      <c r="F34" s="59" t="s">
        <v>64</v>
      </c>
      <c r="G34" s="60" t="s">
        <v>64</v>
      </c>
      <c r="H34" s="57" t="s">
        <v>47</v>
      </c>
      <c r="I34" s="17">
        <v>10</v>
      </c>
      <c r="J34" s="21" t="s">
        <v>0</v>
      </c>
      <c r="K34" s="12">
        <v>1155</v>
      </c>
      <c r="L34" s="84">
        <f t="shared" si="6"/>
        <v>11550</v>
      </c>
      <c r="M34" s="11">
        <f t="shared" si="7"/>
        <v>73532.899999999994</v>
      </c>
      <c r="N34" s="30" t="s">
        <v>136</v>
      </c>
      <c r="O34" s="3">
        <f>2+1+1+1+3+1+1</f>
        <v>10</v>
      </c>
      <c r="P34" s="9">
        <f t="shared" si="0"/>
        <v>0</v>
      </c>
      <c r="Q34" s="23" t="s">
        <v>135</v>
      </c>
      <c r="R34" s="23"/>
    </row>
    <row r="35" spans="1:18" customFormat="1" x14ac:dyDescent="0.35">
      <c r="A35" s="41">
        <v>44076</v>
      </c>
      <c r="B35" s="39">
        <f t="shared" si="3"/>
        <v>9</v>
      </c>
      <c r="C35" s="75">
        <f t="shared" si="1"/>
        <v>2020</v>
      </c>
      <c r="D35" s="117" t="s">
        <v>83</v>
      </c>
      <c r="E35" s="119" t="s">
        <v>10</v>
      </c>
      <c r="F35" s="59" t="s">
        <v>33</v>
      </c>
      <c r="G35" s="60" t="s">
        <v>33</v>
      </c>
      <c r="H35" s="57" t="s">
        <v>51</v>
      </c>
      <c r="I35" s="17">
        <v>1</v>
      </c>
      <c r="J35" s="21" t="s">
        <v>18</v>
      </c>
      <c r="K35" s="12">
        <v>900</v>
      </c>
      <c r="L35" s="84">
        <f t="shared" si="6"/>
        <v>900</v>
      </c>
      <c r="M35" s="11">
        <f t="shared" si="7"/>
        <v>74432.899999999994</v>
      </c>
      <c r="N35" s="30" t="s">
        <v>65</v>
      </c>
      <c r="O35" s="3">
        <v>1</v>
      </c>
      <c r="P35" s="9">
        <f t="shared" si="0"/>
        <v>0</v>
      </c>
      <c r="Q35" s="23" t="s">
        <v>66</v>
      </c>
      <c r="R35" s="23"/>
    </row>
    <row r="36" spans="1:18" customFormat="1" ht="30" customHeight="1" x14ac:dyDescent="0.35">
      <c r="A36" s="41">
        <v>44082</v>
      </c>
      <c r="B36" s="39">
        <f t="shared" si="3"/>
        <v>9</v>
      </c>
      <c r="C36" s="75">
        <f t="shared" si="1"/>
        <v>2020</v>
      </c>
      <c r="D36" s="117" t="s">
        <v>107</v>
      </c>
      <c r="E36" s="119" t="s">
        <v>10</v>
      </c>
      <c r="F36" s="59" t="s">
        <v>16</v>
      </c>
      <c r="G36" s="60" t="s">
        <v>16</v>
      </c>
      <c r="H36" s="57" t="s">
        <v>47</v>
      </c>
      <c r="I36" s="17">
        <v>20</v>
      </c>
      <c r="J36" s="21" t="s">
        <v>18</v>
      </c>
      <c r="K36" s="12">
        <v>168</v>
      </c>
      <c r="L36" s="84">
        <f t="shared" si="6"/>
        <v>3360</v>
      </c>
      <c r="M36" s="11">
        <f t="shared" si="7"/>
        <v>77792.899999999994</v>
      </c>
      <c r="N36" s="30" t="s">
        <v>117</v>
      </c>
      <c r="O36" s="3">
        <f>4+10+6</f>
        <v>20</v>
      </c>
      <c r="P36" s="9">
        <f t="shared" si="0"/>
        <v>0</v>
      </c>
      <c r="Q36" s="23" t="s">
        <v>172</v>
      </c>
      <c r="R36" s="23"/>
    </row>
    <row r="37" spans="1:18" customFormat="1" ht="43.5" x14ac:dyDescent="0.35">
      <c r="A37" s="41">
        <v>44082</v>
      </c>
      <c r="B37" s="39">
        <f t="shared" si="3"/>
        <v>9</v>
      </c>
      <c r="C37" s="75">
        <f t="shared" si="1"/>
        <v>2020</v>
      </c>
      <c r="D37" s="117" t="s">
        <v>107</v>
      </c>
      <c r="E37" s="119" t="s">
        <v>10</v>
      </c>
      <c r="F37" s="59" t="s">
        <v>19</v>
      </c>
      <c r="G37" s="60" t="s">
        <v>19</v>
      </c>
      <c r="H37" s="57" t="s">
        <v>47</v>
      </c>
      <c r="I37" s="17">
        <v>20</v>
      </c>
      <c r="J37" s="21" t="s">
        <v>25</v>
      </c>
      <c r="K37" s="12">
        <v>77.5</v>
      </c>
      <c r="L37" s="84">
        <f t="shared" si="6"/>
        <v>1550</v>
      </c>
      <c r="M37" s="11">
        <f t="shared" si="7"/>
        <v>79342.899999999994</v>
      </c>
      <c r="N37" s="30" t="s">
        <v>149</v>
      </c>
      <c r="O37" s="3">
        <f>1+6+2+8+1+2</f>
        <v>20</v>
      </c>
      <c r="P37" s="9">
        <f t="shared" si="0"/>
        <v>0</v>
      </c>
      <c r="Q37" s="23" t="s">
        <v>150</v>
      </c>
      <c r="R37" s="23"/>
    </row>
    <row r="38" spans="1:18" customFormat="1" x14ac:dyDescent="0.35">
      <c r="A38" s="41">
        <v>44091</v>
      </c>
      <c r="B38" s="39">
        <f t="shared" si="3"/>
        <v>9</v>
      </c>
      <c r="C38" s="75">
        <f t="shared" si="1"/>
        <v>2020</v>
      </c>
      <c r="D38" s="117" t="s">
        <v>106</v>
      </c>
      <c r="E38" s="119" t="s">
        <v>10</v>
      </c>
      <c r="F38" s="59" t="s">
        <v>29</v>
      </c>
      <c r="G38" s="60" t="s">
        <v>29</v>
      </c>
      <c r="H38" s="57" t="s">
        <v>47</v>
      </c>
      <c r="I38" s="17">
        <v>5</v>
      </c>
      <c r="J38" s="21" t="s">
        <v>0</v>
      </c>
      <c r="K38" s="12">
        <v>1122</v>
      </c>
      <c r="L38" s="84">
        <f t="shared" si="6"/>
        <v>5610</v>
      </c>
      <c r="M38" s="11">
        <f t="shared" si="7"/>
        <v>84952.9</v>
      </c>
      <c r="N38" s="30" t="s">
        <v>98</v>
      </c>
      <c r="O38" s="3">
        <f>1+4</f>
        <v>5</v>
      </c>
      <c r="P38" s="9">
        <f t="shared" ref="P38:P72" si="8">I38-O38</f>
        <v>0</v>
      </c>
      <c r="Q38" s="23" t="s">
        <v>96</v>
      </c>
      <c r="R38" s="23"/>
    </row>
    <row r="39" spans="1:18" customFormat="1" x14ac:dyDescent="0.35">
      <c r="A39" s="41">
        <v>44091</v>
      </c>
      <c r="B39" s="39">
        <f t="shared" si="3"/>
        <v>9</v>
      </c>
      <c r="C39" s="75">
        <f t="shared" si="1"/>
        <v>2020</v>
      </c>
      <c r="D39" s="117" t="s">
        <v>106</v>
      </c>
      <c r="E39" s="119" t="s">
        <v>10</v>
      </c>
      <c r="F39" s="59" t="s">
        <v>268</v>
      </c>
      <c r="G39" s="60" t="s">
        <v>268</v>
      </c>
      <c r="H39" s="57" t="s">
        <v>47</v>
      </c>
      <c r="I39" s="17">
        <v>1</v>
      </c>
      <c r="J39" s="21" t="s">
        <v>25</v>
      </c>
      <c r="K39" s="12">
        <v>300</v>
      </c>
      <c r="L39" s="84">
        <f t="shared" si="6"/>
        <v>300</v>
      </c>
      <c r="M39" s="11">
        <f t="shared" si="7"/>
        <v>85252.9</v>
      </c>
      <c r="N39" s="30" t="s">
        <v>70</v>
      </c>
      <c r="O39" s="3">
        <v>1</v>
      </c>
      <c r="P39" s="9">
        <f t="shared" si="8"/>
        <v>0</v>
      </c>
      <c r="Q39" s="23" t="s">
        <v>71</v>
      </c>
      <c r="R39" s="23"/>
    </row>
    <row r="40" spans="1:18" customFormat="1" ht="29" x14ac:dyDescent="0.35">
      <c r="A40" s="41">
        <v>44097</v>
      </c>
      <c r="B40" s="39">
        <f t="shared" si="3"/>
        <v>9</v>
      </c>
      <c r="C40" s="75">
        <f t="shared" si="1"/>
        <v>2020</v>
      </c>
      <c r="D40" s="120" t="s">
        <v>85</v>
      </c>
      <c r="E40" s="119" t="s">
        <v>10</v>
      </c>
      <c r="F40" s="59" t="s">
        <v>29</v>
      </c>
      <c r="G40" s="60" t="s">
        <v>29</v>
      </c>
      <c r="H40" s="57" t="s">
        <v>47</v>
      </c>
      <c r="I40" s="17">
        <v>10</v>
      </c>
      <c r="J40" s="21" t="s">
        <v>0</v>
      </c>
      <c r="K40" s="12">
        <v>1111</v>
      </c>
      <c r="L40" s="84">
        <f t="shared" si="6"/>
        <v>11110</v>
      </c>
      <c r="M40" s="11">
        <f t="shared" si="7"/>
        <v>96362.9</v>
      </c>
      <c r="N40" s="30" t="s">
        <v>115</v>
      </c>
      <c r="O40" s="3">
        <f>1+5+1+3</f>
        <v>10</v>
      </c>
      <c r="P40" s="9">
        <f t="shared" si="8"/>
        <v>0</v>
      </c>
      <c r="Q40" s="23" t="s">
        <v>114</v>
      </c>
      <c r="R40" s="23"/>
    </row>
    <row r="41" spans="1:18" customFormat="1" ht="29" x14ac:dyDescent="0.35">
      <c r="A41" s="41">
        <v>44097</v>
      </c>
      <c r="B41" s="39">
        <f t="shared" si="3"/>
        <v>9</v>
      </c>
      <c r="C41" s="75">
        <f t="shared" si="1"/>
        <v>2020</v>
      </c>
      <c r="D41" s="120" t="s">
        <v>85</v>
      </c>
      <c r="E41" s="119" t="s">
        <v>10</v>
      </c>
      <c r="F41" s="59" t="s">
        <v>31</v>
      </c>
      <c r="G41" s="60" t="s">
        <v>31</v>
      </c>
      <c r="H41" s="57" t="s">
        <v>47</v>
      </c>
      <c r="I41" s="17">
        <v>2</v>
      </c>
      <c r="J41" s="21" t="s">
        <v>0</v>
      </c>
      <c r="K41" s="12">
        <v>1111</v>
      </c>
      <c r="L41" s="84">
        <f t="shared" si="6"/>
        <v>2222</v>
      </c>
      <c r="M41" s="11">
        <f t="shared" si="7"/>
        <v>98584.9</v>
      </c>
      <c r="N41" s="30" t="s">
        <v>116</v>
      </c>
      <c r="O41" s="3">
        <f>1+1</f>
        <v>2</v>
      </c>
      <c r="P41" s="9">
        <f t="shared" si="8"/>
        <v>0</v>
      </c>
      <c r="Q41" s="23" t="s">
        <v>113</v>
      </c>
      <c r="R41" s="23"/>
    </row>
    <row r="42" spans="1:18" customFormat="1" ht="29" x14ac:dyDescent="0.35">
      <c r="A42" s="41">
        <v>44097</v>
      </c>
      <c r="B42" s="39">
        <f t="shared" si="3"/>
        <v>9</v>
      </c>
      <c r="C42" s="75">
        <f t="shared" si="1"/>
        <v>2020</v>
      </c>
      <c r="D42" s="120" t="s">
        <v>85</v>
      </c>
      <c r="E42" s="119" t="s">
        <v>10</v>
      </c>
      <c r="F42" s="45" t="s">
        <v>94</v>
      </c>
      <c r="G42" s="47" t="s">
        <v>177</v>
      </c>
      <c r="H42" s="57" t="s">
        <v>47</v>
      </c>
      <c r="I42" s="17">
        <v>6</v>
      </c>
      <c r="J42" s="21" t="s">
        <v>1</v>
      </c>
      <c r="K42" s="12">
        <v>253.8</v>
      </c>
      <c r="L42" s="84">
        <f t="shared" si="6"/>
        <v>1522.8000000000002</v>
      </c>
      <c r="M42" s="11">
        <f t="shared" si="7"/>
        <v>100107.7</v>
      </c>
      <c r="N42" s="29" t="s">
        <v>263</v>
      </c>
      <c r="O42" s="3">
        <f>1+2+2+1</f>
        <v>6</v>
      </c>
      <c r="P42" s="9">
        <f t="shared" si="8"/>
        <v>0</v>
      </c>
      <c r="Q42" s="23" t="s">
        <v>264</v>
      </c>
      <c r="R42" s="23"/>
    </row>
    <row r="43" spans="1:18" customFormat="1" ht="29" x14ac:dyDescent="0.35">
      <c r="A43" s="41">
        <v>44097</v>
      </c>
      <c r="B43" s="39">
        <f t="shared" si="3"/>
        <v>9</v>
      </c>
      <c r="C43" s="75">
        <f t="shared" si="1"/>
        <v>2020</v>
      </c>
      <c r="D43" s="120" t="s">
        <v>85</v>
      </c>
      <c r="E43" s="119" t="s">
        <v>10</v>
      </c>
      <c r="F43" s="59" t="s">
        <v>95</v>
      </c>
      <c r="G43" s="60" t="s">
        <v>180</v>
      </c>
      <c r="H43" s="57" t="s">
        <v>47</v>
      </c>
      <c r="I43" s="17">
        <v>6</v>
      </c>
      <c r="J43" s="21" t="s">
        <v>1</v>
      </c>
      <c r="K43" s="12">
        <v>253.8</v>
      </c>
      <c r="L43" s="84">
        <f t="shared" si="6"/>
        <v>1522.8000000000002</v>
      </c>
      <c r="M43" s="11">
        <f t="shared" si="7"/>
        <v>101630.5</v>
      </c>
      <c r="N43" s="29" t="s">
        <v>247</v>
      </c>
      <c r="O43" s="3">
        <f>1+3+1+1</f>
        <v>6</v>
      </c>
      <c r="P43" s="9">
        <f t="shared" si="8"/>
        <v>0</v>
      </c>
      <c r="Q43" s="23" t="s">
        <v>248</v>
      </c>
      <c r="R43" s="23"/>
    </row>
    <row r="44" spans="1:18" customFormat="1" ht="29" x14ac:dyDescent="0.35">
      <c r="A44" s="41">
        <v>44097</v>
      </c>
      <c r="B44" s="39">
        <f t="shared" si="3"/>
        <v>9</v>
      </c>
      <c r="C44" s="75">
        <f t="shared" si="1"/>
        <v>2020</v>
      </c>
      <c r="D44" s="120" t="s">
        <v>85</v>
      </c>
      <c r="E44" s="119" t="s">
        <v>10</v>
      </c>
      <c r="F44" s="59" t="s">
        <v>141</v>
      </c>
      <c r="G44" s="60" t="s">
        <v>141</v>
      </c>
      <c r="H44" s="57" t="s">
        <v>47</v>
      </c>
      <c r="I44" s="17">
        <v>10</v>
      </c>
      <c r="J44" s="21" t="s">
        <v>18</v>
      </c>
      <c r="K44" s="12">
        <v>168</v>
      </c>
      <c r="L44" s="84">
        <f t="shared" si="6"/>
        <v>1680</v>
      </c>
      <c r="M44" s="11">
        <f t="shared" si="7"/>
        <v>103310.5</v>
      </c>
      <c r="N44" s="30" t="s">
        <v>173</v>
      </c>
      <c r="O44" s="3">
        <f>4+6</f>
        <v>10</v>
      </c>
      <c r="P44" s="9">
        <f t="shared" si="8"/>
        <v>0</v>
      </c>
      <c r="Q44" s="23" t="s">
        <v>171</v>
      </c>
      <c r="R44" s="23"/>
    </row>
    <row r="45" spans="1:18" customFormat="1" ht="29" x14ac:dyDescent="0.35">
      <c r="A45" s="41">
        <v>44097</v>
      </c>
      <c r="B45" s="39">
        <f t="shared" si="3"/>
        <v>9</v>
      </c>
      <c r="C45" s="75">
        <f t="shared" si="1"/>
        <v>2020</v>
      </c>
      <c r="D45" s="120" t="s">
        <v>110</v>
      </c>
      <c r="E45" s="120" t="s">
        <v>36</v>
      </c>
      <c r="F45" s="59" t="s">
        <v>37</v>
      </c>
      <c r="G45" s="60" t="s">
        <v>37</v>
      </c>
      <c r="H45" s="57" t="s">
        <v>51</v>
      </c>
      <c r="I45" s="17">
        <v>6</v>
      </c>
      <c r="J45" s="21" t="s">
        <v>1</v>
      </c>
      <c r="K45" s="12">
        <v>192</v>
      </c>
      <c r="L45" s="84">
        <f t="shared" si="6"/>
        <v>1152</v>
      </c>
      <c r="M45" s="11">
        <f t="shared" si="7"/>
        <v>104462.5</v>
      </c>
      <c r="N45" s="30" t="s">
        <v>86</v>
      </c>
      <c r="O45" s="3">
        <v>6</v>
      </c>
      <c r="P45" s="9">
        <f t="shared" si="8"/>
        <v>0</v>
      </c>
      <c r="Q45" s="23" t="s">
        <v>111</v>
      </c>
      <c r="R45" s="23"/>
    </row>
    <row r="46" spans="1:18" customFormat="1" ht="29" x14ac:dyDescent="0.35">
      <c r="A46" s="41">
        <v>44105</v>
      </c>
      <c r="B46" s="39">
        <f t="shared" si="3"/>
        <v>10</v>
      </c>
      <c r="C46" s="75">
        <f t="shared" si="1"/>
        <v>2020</v>
      </c>
      <c r="D46" s="120" t="s">
        <v>148</v>
      </c>
      <c r="E46" s="120" t="s">
        <v>10</v>
      </c>
      <c r="F46" s="45" t="s">
        <v>147</v>
      </c>
      <c r="G46" s="47" t="s">
        <v>176</v>
      </c>
      <c r="H46" s="57" t="s">
        <v>47</v>
      </c>
      <c r="I46" s="17">
        <v>20</v>
      </c>
      <c r="J46" s="21" t="s">
        <v>1</v>
      </c>
      <c r="K46" s="12">
        <v>173.9</v>
      </c>
      <c r="L46" s="84">
        <f t="shared" si="6"/>
        <v>3478</v>
      </c>
      <c r="M46" s="11">
        <f t="shared" si="7"/>
        <v>107940.5</v>
      </c>
      <c r="N46" s="30" t="s">
        <v>373</v>
      </c>
      <c r="O46" s="3">
        <f>1+8+2+6</f>
        <v>17</v>
      </c>
      <c r="P46" s="9">
        <f t="shared" si="8"/>
        <v>3</v>
      </c>
      <c r="Q46" s="23" t="s">
        <v>346</v>
      </c>
      <c r="R46" s="23"/>
    </row>
    <row r="47" spans="1:18" customFormat="1" ht="43.5" x14ac:dyDescent="0.35">
      <c r="A47" s="41">
        <v>44105</v>
      </c>
      <c r="B47" s="39">
        <f t="shared" si="3"/>
        <v>10</v>
      </c>
      <c r="C47" s="75">
        <f t="shared" si="1"/>
        <v>2020</v>
      </c>
      <c r="D47" s="120" t="s">
        <v>148</v>
      </c>
      <c r="E47" s="120" t="s">
        <v>10</v>
      </c>
      <c r="F47" s="45" t="s">
        <v>93</v>
      </c>
      <c r="G47" s="47" t="s">
        <v>177</v>
      </c>
      <c r="H47" s="57" t="s">
        <v>47</v>
      </c>
      <c r="I47" s="17">
        <v>20</v>
      </c>
      <c r="J47" s="21" t="s">
        <v>1</v>
      </c>
      <c r="K47" s="12">
        <v>253.8</v>
      </c>
      <c r="L47" s="84">
        <f t="shared" si="6"/>
        <v>5076</v>
      </c>
      <c r="M47" s="11">
        <f t="shared" si="7"/>
        <v>113016.5</v>
      </c>
      <c r="N47" s="30" t="s">
        <v>393</v>
      </c>
      <c r="O47" s="3">
        <f>1+3+7+2+4+1</f>
        <v>18</v>
      </c>
      <c r="P47" s="9">
        <f t="shared" si="8"/>
        <v>2</v>
      </c>
      <c r="Q47" s="23" t="s">
        <v>394</v>
      </c>
      <c r="R47" s="23"/>
    </row>
    <row r="48" spans="1:18" customFormat="1" ht="58" x14ac:dyDescent="0.35">
      <c r="A48" s="41">
        <v>44105</v>
      </c>
      <c r="B48" s="39">
        <f t="shared" si="3"/>
        <v>10</v>
      </c>
      <c r="C48" s="75">
        <f t="shared" si="1"/>
        <v>2020</v>
      </c>
      <c r="D48" s="120" t="s">
        <v>148</v>
      </c>
      <c r="E48" s="120" t="s">
        <v>10</v>
      </c>
      <c r="F48" s="59" t="s">
        <v>146</v>
      </c>
      <c r="G48" s="60" t="s">
        <v>180</v>
      </c>
      <c r="H48" s="57" t="s">
        <v>47</v>
      </c>
      <c r="I48" s="17">
        <v>15</v>
      </c>
      <c r="J48" s="21" t="s">
        <v>1</v>
      </c>
      <c r="K48" s="12">
        <v>253.8</v>
      </c>
      <c r="L48" s="84">
        <f t="shared" si="6"/>
        <v>3807</v>
      </c>
      <c r="M48" s="11">
        <f t="shared" si="7"/>
        <v>116823.5</v>
      </c>
      <c r="N48" s="30" t="s">
        <v>407</v>
      </c>
      <c r="O48" s="3">
        <f>1+1+5+2+4+1+1</f>
        <v>15</v>
      </c>
      <c r="P48" s="9">
        <f t="shared" si="8"/>
        <v>0</v>
      </c>
      <c r="Q48" s="23" t="s">
        <v>406</v>
      </c>
      <c r="R48" s="23"/>
    </row>
    <row r="49" spans="1:18" customFormat="1" ht="14.5" customHeight="1" x14ac:dyDescent="0.35">
      <c r="A49" s="41">
        <v>44109</v>
      </c>
      <c r="B49" s="39">
        <f t="shared" si="3"/>
        <v>10</v>
      </c>
      <c r="C49" s="75">
        <f t="shared" si="1"/>
        <v>2020</v>
      </c>
      <c r="D49" s="120" t="s">
        <v>118</v>
      </c>
      <c r="E49" s="120" t="s">
        <v>10</v>
      </c>
      <c r="F49" s="59" t="s">
        <v>29</v>
      </c>
      <c r="G49" s="60" t="s">
        <v>29</v>
      </c>
      <c r="H49" s="57" t="s">
        <v>47</v>
      </c>
      <c r="I49" s="17">
        <v>10</v>
      </c>
      <c r="J49" s="21" t="s">
        <v>0</v>
      </c>
      <c r="K49" s="12">
        <v>1111</v>
      </c>
      <c r="L49" s="84">
        <f t="shared" si="6"/>
        <v>11110</v>
      </c>
      <c r="M49" s="11">
        <f t="shared" si="7"/>
        <v>127933.5</v>
      </c>
      <c r="N49" s="35" t="s">
        <v>145</v>
      </c>
      <c r="O49" s="3">
        <f>2+6+2</f>
        <v>10</v>
      </c>
      <c r="P49" s="9">
        <f t="shared" si="8"/>
        <v>0</v>
      </c>
      <c r="Q49" s="23" t="s">
        <v>144</v>
      </c>
      <c r="R49" s="23"/>
    </row>
    <row r="50" spans="1:18" customFormat="1" ht="29" x14ac:dyDescent="0.35">
      <c r="A50" s="41">
        <v>44113</v>
      </c>
      <c r="B50" s="39">
        <f t="shared" si="3"/>
        <v>10</v>
      </c>
      <c r="C50" s="75">
        <f t="shared" si="1"/>
        <v>2020</v>
      </c>
      <c r="D50" s="120" t="s">
        <v>121</v>
      </c>
      <c r="E50" s="120" t="s">
        <v>10</v>
      </c>
      <c r="F50" s="59" t="s">
        <v>31</v>
      </c>
      <c r="G50" s="60" t="s">
        <v>31</v>
      </c>
      <c r="H50" s="57" t="s">
        <v>47</v>
      </c>
      <c r="I50" s="17">
        <v>5</v>
      </c>
      <c r="J50" s="21" t="s">
        <v>0</v>
      </c>
      <c r="K50" s="12">
        <v>1111</v>
      </c>
      <c r="L50" s="84">
        <f t="shared" si="6"/>
        <v>5555</v>
      </c>
      <c r="M50" s="11">
        <f t="shared" si="7"/>
        <v>133488.5</v>
      </c>
      <c r="N50" s="30" t="s">
        <v>303</v>
      </c>
      <c r="O50" s="3">
        <f>1+2+1+1</f>
        <v>5</v>
      </c>
      <c r="P50" s="9">
        <f t="shared" si="8"/>
        <v>0</v>
      </c>
      <c r="Q50" s="23" t="s">
        <v>304</v>
      </c>
      <c r="R50" s="23"/>
    </row>
    <row r="51" spans="1:18" customFormat="1" ht="72.5" x14ac:dyDescent="0.35">
      <c r="A51" s="41">
        <v>44113</v>
      </c>
      <c r="B51" s="39">
        <f t="shared" si="3"/>
        <v>10</v>
      </c>
      <c r="C51" s="75">
        <f t="shared" si="1"/>
        <v>2020</v>
      </c>
      <c r="D51" s="120" t="s">
        <v>121</v>
      </c>
      <c r="E51" s="120" t="s">
        <v>10</v>
      </c>
      <c r="F51" s="59" t="s">
        <v>141</v>
      </c>
      <c r="G51" s="60" t="s">
        <v>141</v>
      </c>
      <c r="H51" s="57" t="s">
        <v>47</v>
      </c>
      <c r="I51" s="17">
        <v>20</v>
      </c>
      <c r="J51" s="21" t="s">
        <v>18</v>
      </c>
      <c r="K51" s="12">
        <v>168</v>
      </c>
      <c r="L51" s="84">
        <f t="shared" si="6"/>
        <v>3360</v>
      </c>
      <c r="M51" s="11">
        <f t="shared" si="7"/>
        <v>136848.5</v>
      </c>
      <c r="N51" s="30" t="s">
        <v>271</v>
      </c>
      <c r="O51" s="3">
        <f>1+1+2+2+5+2+1+2+4</f>
        <v>20</v>
      </c>
      <c r="P51" s="9">
        <f t="shared" si="8"/>
        <v>0</v>
      </c>
      <c r="Q51" s="23" t="s">
        <v>270</v>
      </c>
      <c r="R51" s="23"/>
    </row>
    <row r="52" spans="1:18" customFormat="1" ht="58" x14ac:dyDescent="0.35">
      <c r="A52" s="41">
        <v>44113</v>
      </c>
      <c r="B52" s="39">
        <f t="shared" si="3"/>
        <v>10</v>
      </c>
      <c r="C52" s="75">
        <f t="shared" si="1"/>
        <v>2020</v>
      </c>
      <c r="D52" s="120" t="s">
        <v>121</v>
      </c>
      <c r="E52" s="120" t="s">
        <v>10</v>
      </c>
      <c r="F52" s="62" t="s">
        <v>142</v>
      </c>
      <c r="G52" s="59" t="s">
        <v>142</v>
      </c>
      <c r="H52" s="57" t="s">
        <v>47</v>
      </c>
      <c r="I52" s="17">
        <v>20</v>
      </c>
      <c r="J52" s="21" t="s">
        <v>25</v>
      </c>
      <c r="K52" s="12">
        <v>77.5</v>
      </c>
      <c r="L52" s="84">
        <f t="shared" si="6"/>
        <v>1550</v>
      </c>
      <c r="M52" s="11">
        <f t="shared" si="7"/>
        <v>138398.5</v>
      </c>
      <c r="N52" s="30" t="s">
        <v>206</v>
      </c>
      <c r="O52" s="3">
        <f>2+6+4+1+2+1+2+2</f>
        <v>20</v>
      </c>
      <c r="P52" s="9">
        <f t="shared" si="8"/>
        <v>0</v>
      </c>
      <c r="Q52" s="23" t="s">
        <v>205</v>
      </c>
      <c r="R52" s="23"/>
    </row>
    <row r="53" spans="1:18" customFormat="1" ht="43.5" x14ac:dyDescent="0.35">
      <c r="A53" s="41">
        <v>44113</v>
      </c>
      <c r="B53" s="39">
        <f t="shared" si="3"/>
        <v>10</v>
      </c>
      <c r="C53" s="75">
        <f t="shared" si="1"/>
        <v>2020</v>
      </c>
      <c r="D53" s="120" t="s">
        <v>122</v>
      </c>
      <c r="E53" s="120" t="s">
        <v>10</v>
      </c>
      <c r="F53" s="59" t="s">
        <v>29</v>
      </c>
      <c r="G53" s="60" t="s">
        <v>29</v>
      </c>
      <c r="H53" s="57" t="s">
        <v>47</v>
      </c>
      <c r="I53" s="17">
        <v>10</v>
      </c>
      <c r="J53" s="21" t="s">
        <v>0</v>
      </c>
      <c r="K53" s="12">
        <v>1111</v>
      </c>
      <c r="L53" s="84">
        <f t="shared" si="6"/>
        <v>11110</v>
      </c>
      <c r="M53" s="11">
        <f t="shared" si="7"/>
        <v>149508.5</v>
      </c>
      <c r="N53" s="30" t="s">
        <v>202</v>
      </c>
      <c r="O53" s="3">
        <f>3+1+2+1+1+2</f>
        <v>10</v>
      </c>
      <c r="P53" s="9">
        <f t="shared" si="8"/>
        <v>0</v>
      </c>
      <c r="Q53" s="23" t="s">
        <v>201</v>
      </c>
      <c r="R53" s="23"/>
    </row>
    <row r="54" spans="1:18" customFormat="1" ht="29" x14ac:dyDescent="0.35">
      <c r="A54" s="41">
        <v>44123</v>
      </c>
      <c r="B54" s="39">
        <f t="shared" si="3"/>
        <v>10</v>
      </c>
      <c r="C54" s="75">
        <f t="shared" si="1"/>
        <v>2020</v>
      </c>
      <c r="D54" s="120" t="s">
        <v>126</v>
      </c>
      <c r="E54" s="120" t="s">
        <v>10</v>
      </c>
      <c r="F54" s="59" t="s">
        <v>143</v>
      </c>
      <c r="G54" s="60" t="s">
        <v>143</v>
      </c>
      <c r="H54" s="57" t="s">
        <v>47</v>
      </c>
      <c r="I54" s="17">
        <v>2</v>
      </c>
      <c r="J54" s="21" t="s">
        <v>18</v>
      </c>
      <c r="K54" s="12">
        <v>168</v>
      </c>
      <c r="L54" s="84">
        <f t="shared" si="6"/>
        <v>336</v>
      </c>
      <c r="M54" s="11">
        <f t="shared" si="7"/>
        <v>149844.5</v>
      </c>
      <c r="N54" s="42" t="s">
        <v>129</v>
      </c>
      <c r="O54" s="3">
        <v>2</v>
      </c>
      <c r="P54" s="9">
        <f t="shared" si="8"/>
        <v>0</v>
      </c>
      <c r="Q54" s="3" t="s">
        <v>123</v>
      </c>
      <c r="R54" s="23"/>
    </row>
    <row r="55" spans="1:18" customFormat="1" ht="29" x14ac:dyDescent="0.35">
      <c r="A55" s="41">
        <v>44123</v>
      </c>
      <c r="B55" s="39">
        <f t="shared" si="3"/>
        <v>10</v>
      </c>
      <c r="C55" s="75">
        <f t="shared" si="1"/>
        <v>2020</v>
      </c>
      <c r="D55" s="120" t="s">
        <v>124</v>
      </c>
      <c r="E55" s="120" t="s">
        <v>10</v>
      </c>
      <c r="F55" s="48" t="s">
        <v>246</v>
      </c>
      <c r="G55" s="64" t="s">
        <v>246</v>
      </c>
      <c r="H55" s="57" t="s">
        <v>47</v>
      </c>
      <c r="I55" s="17">
        <v>4</v>
      </c>
      <c r="J55" s="21" t="s">
        <v>215</v>
      </c>
      <c r="K55" s="12">
        <v>28</v>
      </c>
      <c r="L55" s="84">
        <f t="shared" si="6"/>
        <v>112</v>
      </c>
      <c r="M55" s="11">
        <f t="shared" si="7"/>
        <v>149956.5</v>
      </c>
      <c r="N55" s="43" t="s">
        <v>252</v>
      </c>
      <c r="O55" s="32">
        <f>1+3</f>
        <v>4</v>
      </c>
      <c r="P55" s="67">
        <f t="shared" si="8"/>
        <v>0</v>
      </c>
      <c r="Q55" s="23" t="s">
        <v>253</v>
      </c>
      <c r="R55" s="86"/>
    </row>
    <row r="56" spans="1:18" customFormat="1" ht="58" x14ac:dyDescent="0.35">
      <c r="A56" s="41">
        <v>44123</v>
      </c>
      <c r="B56" s="39">
        <f t="shared" si="3"/>
        <v>10</v>
      </c>
      <c r="C56" s="75">
        <f t="shared" si="1"/>
        <v>2020</v>
      </c>
      <c r="D56" s="120" t="s">
        <v>127</v>
      </c>
      <c r="E56" s="120" t="s">
        <v>10</v>
      </c>
      <c r="F56" s="59" t="s">
        <v>64</v>
      </c>
      <c r="G56" s="60" t="s">
        <v>64</v>
      </c>
      <c r="H56" s="57" t="s">
        <v>47</v>
      </c>
      <c r="I56" s="17">
        <v>10</v>
      </c>
      <c r="J56" s="21" t="s">
        <v>0</v>
      </c>
      <c r="K56" s="12">
        <v>1111</v>
      </c>
      <c r="L56" s="84">
        <f t="shared" si="6"/>
        <v>11110</v>
      </c>
      <c r="M56" s="11">
        <f t="shared" si="7"/>
        <v>161066.5</v>
      </c>
      <c r="N56" s="30" t="s">
        <v>200</v>
      </c>
      <c r="O56" s="3">
        <f>3+1+1+1+1+1+1+1</f>
        <v>10</v>
      </c>
      <c r="P56" s="9">
        <f t="shared" si="8"/>
        <v>0</v>
      </c>
      <c r="Q56" s="23" t="s">
        <v>199</v>
      </c>
      <c r="R56" s="23"/>
    </row>
    <row r="57" spans="1:18" customFormat="1" ht="29" x14ac:dyDescent="0.35">
      <c r="A57" s="41">
        <v>44123</v>
      </c>
      <c r="B57" s="39">
        <f t="shared" si="3"/>
        <v>10</v>
      </c>
      <c r="C57" s="75">
        <f t="shared" si="1"/>
        <v>2020</v>
      </c>
      <c r="D57" s="120" t="s">
        <v>128</v>
      </c>
      <c r="E57" s="120" t="s">
        <v>10</v>
      </c>
      <c r="F57" s="59" t="s">
        <v>140</v>
      </c>
      <c r="G57" s="60" t="s">
        <v>140</v>
      </c>
      <c r="H57" s="57" t="s">
        <v>47</v>
      </c>
      <c r="I57" s="17">
        <v>4</v>
      </c>
      <c r="J57" s="21" t="s">
        <v>18</v>
      </c>
      <c r="K57" s="12">
        <v>176</v>
      </c>
      <c r="L57" s="84">
        <f t="shared" si="6"/>
        <v>704</v>
      </c>
      <c r="M57" s="11">
        <f t="shared" si="7"/>
        <v>161770.5</v>
      </c>
      <c r="N57" s="42" t="s">
        <v>129</v>
      </c>
      <c r="O57" s="3">
        <v>4</v>
      </c>
      <c r="P57" s="9">
        <f t="shared" si="8"/>
        <v>0</v>
      </c>
      <c r="Q57" s="3" t="s">
        <v>133</v>
      </c>
      <c r="R57" s="23"/>
    </row>
    <row r="58" spans="1:18" customFormat="1" ht="29" x14ac:dyDescent="0.35">
      <c r="A58" s="41">
        <v>44123</v>
      </c>
      <c r="B58" s="39">
        <f t="shared" si="3"/>
        <v>10</v>
      </c>
      <c r="C58" s="75">
        <f t="shared" si="1"/>
        <v>2020</v>
      </c>
      <c r="D58" s="120" t="s">
        <v>128</v>
      </c>
      <c r="E58" s="120" t="s">
        <v>10</v>
      </c>
      <c r="F58" s="59" t="s">
        <v>139</v>
      </c>
      <c r="G58" s="60" t="s">
        <v>139</v>
      </c>
      <c r="H58" s="57" t="s">
        <v>47</v>
      </c>
      <c r="I58" s="17">
        <v>1</v>
      </c>
      <c r="J58" s="21" t="s">
        <v>18</v>
      </c>
      <c r="K58" s="12">
        <v>450</v>
      </c>
      <c r="L58" s="84">
        <f t="shared" si="6"/>
        <v>450</v>
      </c>
      <c r="M58" s="11">
        <f t="shared" si="7"/>
        <v>162220.5</v>
      </c>
      <c r="N58" s="43" t="s">
        <v>129</v>
      </c>
      <c r="O58" s="3">
        <v>1</v>
      </c>
      <c r="P58" s="9">
        <f t="shared" si="8"/>
        <v>0</v>
      </c>
      <c r="Q58" s="3" t="s">
        <v>137</v>
      </c>
      <c r="R58" s="23"/>
    </row>
    <row r="59" spans="1:18" customFormat="1" x14ac:dyDescent="0.35">
      <c r="A59" s="41">
        <v>44123</v>
      </c>
      <c r="B59" s="39">
        <f t="shared" si="3"/>
        <v>10</v>
      </c>
      <c r="C59" s="75">
        <f t="shared" si="1"/>
        <v>2020</v>
      </c>
      <c r="D59" s="120"/>
      <c r="E59" s="120" t="s">
        <v>158</v>
      </c>
      <c r="F59" s="59" t="s">
        <v>134</v>
      </c>
      <c r="G59" s="60" t="s">
        <v>134</v>
      </c>
      <c r="H59" s="57" t="s">
        <v>51</v>
      </c>
      <c r="I59" s="17">
        <v>1</v>
      </c>
      <c r="J59" s="21" t="s">
        <v>138</v>
      </c>
      <c r="K59" s="12">
        <v>54</v>
      </c>
      <c r="L59" s="84">
        <f t="shared" ref="L59:L60" si="9">SUM(I59*K59)</f>
        <v>54</v>
      </c>
      <c r="M59" s="11">
        <f t="shared" si="7"/>
        <v>162274.5</v>
      </c>
      <c r="N59" s="42" t="s">
        <v>129</v>
      </c>
      <c r="O59" s="3">
        <v>1</v>
      </c>
      <c r="P59" s="9">
        <f t="shared" si="8"/>
        <v>0</v>
      </c>
      <c r="Q59" s="3" t="s">
        <v>137</v>
      </c>
      <c r="R59" s="23"/>
    </row>
    <row r="60" spans="1:18" customFormat="1" x14ac:dyDescent="0.35">
      <c r="A60" s="41">
        <v>44123</v>
      </c>
      <c r="B60" s="39">
        <f t="shared" si="3"/>
        <v>10</v>
      </c>
      <c r="C60" s="75">
        <f t="shared" si="1"/>
        <v>2020</v>
      </c>
      <c r="D60" s="121" t="s">
        <v>175</v>
      </c>
      <c r="E60" s="120" t="s">
        <v>10</v>
      </c>
      <c r="F60" s="59" t="s">
        <v>153</v>
      </c>
      <c r="G60" s="60" t="s">
        <v>153</v>
      </c>
      <c r="H60" s="58" t="s">
        <v>47</v>
      </c>
      <c r="I60" s="17">
        <v>1</v>
      </c>
      <c r="J60" s="21" t="s">
        <v>125</v>
      </c>
      <c r="K60" s="12">
        <v>90</v>
      </c>
      <c r="L60" s="84">
        <f t="shared" si="9"/>
        <v>90</v>
      </c>
      <c r="M60" s="11">
        <f t="shared" si="7"/>
        <v>162364.5</v>
      </c>
      <c r="N60" s="42" t="s">
        <v>154</v>
      </c>
      <c r="O60" s="3">
        <v>1</v>
      </c>
      <c r="P60" s="9">
        <f t="shared" si="8"/>
        <v>0</v>
      </c>
      <c r="Q60" s="3" t="s">
        <v>155</v>
      </c>
      <c r="R60" s="23"/>
    </row>
    <row r="61" spans="1:18" customFormat="1" x14ac:dyDescent="0.35">
      <c r="A61" s="41">
        <v>44145</v>
      </c>
      <c r="B61" s="39">
        <f t="shared" si="3"/>
        <v>11</v>
      </c>
      <c r="C61" s="75">
        <f t="shared" si="1"/>
        <v>2020</v>
      </c>
      <c r="D61" s="120" t="s">
        <v>159</v>
      </c>
      <c r="E61" s="120" t="s">
        <v>10</v>
      </c>
      <c r="F61" s="59" t="s">
        <v>29</v>
      </c>
      <c r="G61" s="60" t="s">
        <v>29</v>
      </c>
      <c r="H61" s="57" t="s">
        <v>47</v>
      </c>
      <c r="I61" s="17">
        <v>5</v>
      </c>
      <c r="J61" s="21" t="s">
        <v>0</v>
      </c>
      <c r="K61" s="12">
        <v>1199</v>
      </c>
      <c r="L61" s="84">
        <f t="shared" si="6"/>
        <v>5995</v>
      </c>
      <c r="M61" s="11">
        <f t="shared" si="7"/>
        <v>168359.5</v>
      </c>
      <c r="N61" s="42" t="s">
        <v>211</v>
      </c>
      <c r="O61" s="3">
        <f>3+2</f>
        <v>5</v>
      </c>
      <c r="P61" s="9">
        <f t="shared" si="8"/>
        <v>0</v>
      </c>
      <c r="Q61" s="3" t="s">
        <v>212</v>
      </c>
      <c r="R61" s="23"/>
    </row>
    <row r="62" spans="1:18" customFormat="1" ht="87" x14ac:dyDescent="0.35">
      <c r="A62" s="41">
        <v>44145</v>
      </c>
      <c r="B62" s="39">
        <f t="shared" si="3"/>
        <v>11</v>
      </c>
      <c r="C62" s="75">
        <f t="shared" si="1"/>
        <v>2020</v>
      </c>
      <c r="D62" s="120" t="s">
        <v>160</v>
      </c>
      <c r="E62" s="120" t="s">
        <v>10</v>
      </c>
      <c r="F62" s="59" t="s">
        <v>19</v>
      </c>
      <c r="G62" s="60" t="s">
        <v>19</v>
      </c>
      <c r="H62" s="57" t="s">
        <v>47</v>
      </c>
      <c r="I62" s="17">
        <v>20</v>
      </c>
      <c r="J62" s="21" t="s">
        <v>25</v>
      </c>
      <c r="K62" s="12">
        <v>77.5</v>
      </c>
      <c r="L62" s="84">
        <f t="shared" si="6"/>
        <v>1550</v>
      </c>
      <c r="M62" s="11">
        <f t="shared" si="7"/>
        <v>169909.5</v>
      </c>
      <c r="N62" s="30" t="s">
        <v>258</v>
      </c>
      <c r="O62" s="3">
        <f>6+2+1+2+6+3</f>
        <v>20</v>
      </c>
      <c r="P62" s="9">
        <f t="shared" si="8"/>
        <v>0</v>
      </c>
      <c r="Q62" s="23" t="s">
        <v>259</v>
      </c>
      <c r="R62" s="23" t="s">
        <v>254</v>
      </c>
    </row>
    <row r="63" spans="1:18" customFormat="1" ht="29" x14ac:dyDescent="0.35">
      <c r="A63" s="41">
        <v>44154</v>
      </c>
      <c r="B63" s="40">
        <f t="shared" si="3"/>
        <v>11</v>
      </c>
      <c r="C63" s="75">
        <f t="shared" si="1"/>
        <v>2020</v>
      </c>
      <c r="D63" s="120" t="s">
        <v>174</v>
      </c>
      <c r="E63" s="120" t="s">
        <v>10</v>
      </c>
      <c r="F63" s="59" t="s">
        <v>29</v>
      </c>
      <c r="G63" s="60" t="s">
        <v>29</v>
      </c>
      <c r="H63" s="57" t="s">
        <v>47</v>
      </c>
      <c r="I63" s="17">
        <v>5</v>
      </c>
      <c r="J63" s="21" t="s">
        <v>0</v>
      </c>
      <c r="K63" s="12">
        <v>1199</v>
      </c>
      <c r="L63" s="84">
        <f t="shared" si="6"/>
        <v>5995</v>
      </c>
      <c r="M63" s="11">
        <f t="shared" si="7"/>
        <v>175904.5</v>
      </c>
      <c r="N63" s="29" t="s">
        <v>267</v>
      </c>
      <c r="O63" s="3">
        <f>3+1+1</f>
        <v>5</v>
      </c>
      <c r="P63" s="9">
        <f t="shared" si="8"/>
        <v>0</v>
      </c>
      <c r="Q63" s="23" t="s">
        <v>265</v>
      </c>
      <c r="R63" s="23"/>
    </row>
    <row r="64" spans="1:18" customFormat="1" x14ac:dyDescent="0.35">
      <c r="A64" s="41">
        <v>44155</v>
      </c>
      <c r="B64" s="40">
        <f t="shared" si="3"/>
        <v>11</v>
      </c>
      <c r="C64" s="75">
        <f t="shared" si="1"/>
        <v>2020</v>
      </c>
      <c r="D64" s="121" t="s">
        <v>175</v>
      </c>
      <c r="E64" s="120" t="s">
        <v>10</v>
      </c>
      <c r="F64" s="59" t="s">
        <v>63</v>
      </c>
      <c r="G64" s="60" t="s">
        <v>63</v>
      </c>
      <c r="H64" s="58" t="s">
        <v>47</v>
      </c>
      <c r="I64" s="17">
        <v>1</v>
      </c>
      <c r="J64" s="4" t="s">
        <v>18</v>
      </c>
      <c r="K64" s="12">
        <v>345</v>
      </c>
      <c r="L64" s="84">
        <f t="shared" si="6"/>
        <v>345</v>
      </c>
      <c r="M64" s="11">
        <f t="shared" si="7"/>
        <v>176249.5</v>
      </c>
      <c r="N64" s="43" t="s">
        <v>163</v>
      </c>
      <c r="O64" s="3">
        <v>1</v>
      </c>
      <c r="P64" s="9">
        <f t="shared" si="8"/>
        <v>0</v>
      </c>
      <c r="Q64" s="3" t="s">
        <v>164</v>
      </c>
      <c r="R64" s="23"/>
    </row>
    <row r="65" spans="1:18" customFormat="1" ht="29" x14ac:dyDescent="0.35">
      <c r="A65" s="41">
        <v>44159</v>
      </c>
      <c r="B65" s="39">
        <f t="shared" ref="B65:B86" si="10">MONTH(A65)</f>
        <v>11</v>
      </c>
      <c r="C65" s="75">
        <f t="shared" si="1"/>
        <v>2020</v>
      </c>
      <c r="D65" s="120" t="s">
        <v>161</v>
      </c>
      <c r="E65" s="120" t="s">
        <v>36</v>
      </c>
      <c r="F65" s="59" t="s">
        <v>37</v>
      </c>
      <c r="G65" s="60" t="s">
        <v>37</v>
      </c>
      <c r="H65" s="57" t="s">
        <v>51</v>
      </c>
      <c r="I65" s="17">
        <v>10</v>
      </c>
      <c r="J65" s="21" t="s">
        <v>1</v>
      </c>
      <c r="K65" s="12">
        <v>212</v>
      </c>
      <c r="L65" s="84">
        <f t="shared" si="6"/>
        <v>2120</v>
      </c>
      <c r="M65" s="11">
        <f t="shared" si="7"/>
        <v>178369.5</v>
      </c>
      <c r="N65" s="30" t="s">
        <v>256</v>
      </c>
      <c r="O65" s="3">
        <f>2+1+1</f>
        <v>4</v>
      </c>
      <c r="P65" s="9">
        <f>I65-O65</f>
        <v>6</v>
      </c>
      <c r="Q65" s="23" t="s">
        <v>255</v>
      </c>
      <c r="R65" s="23"/>
    </row>
    <row r="66" spans="1:18" customFormat="1" ht="29" x14ac:dyDescent="0.35">
      <c r="A66" s="41">
        <v>44160</v>
      </c>
      <c r="B66" s="40">
        <f t="shared" si="10"/>
        <v>11</v>
      </c>
      <c r="C66" s="75">
        <f t="shared" si="1"/>
        <v>2020</v>
      </c>
      <c r="D66" s="120" t="s">
        <v>195</v>
      </c>
      <c r="E66" s="120" t="s">
        <v>10</v>
      </c>
      <c r="F66" s="45" t="s">
        <v>193</v>
      </c>
      <c r="G66" s="47" t="s">
        <v>194</v>
      </c>
      <c r="H66" s="57" t="s">
        <v>47</v>
      </c>
      <c r="I66" s="17">
        <v>20</v>
      </c>
      <c r="J66" s="21" t="s">
        <v>1</v>
      </c>
      <c r="K66" s="12">
        <v>168</v>
      </c>
      <c r="L66" s="84">
        <f t="shared" si="6"/>
        <v>3360</v>
      </c>
      <c r="M66" s="11">
        <f t="shared" si="7"/>
        <v>181729.5</v>
      </c>
      <c r="N66" s="30" t="s">
        <v>250</v>
      </c>
      <c r="O66" s="3">
        <f>4+4+8+4</f>
        <v>20</v>
      </c>
      <c r="P66" s="9">
        <f>I66-O66</f>
        <v>0</v>
      </c>
      <c r="Q66" s="23" t="s">
        <v>251</v>
      </c>
      <c r="R66" s="23"/>
    </row>
    <row r="67" spans="1:18" customFormat="1" ht="43.5" x14ac:dyDescent="0.35">
      <c r="A67" s="41">
        <v>44160</v>
      </c>
      <c r="B67" s="40">
        <f t="shared" si="10"/>
        <v>11</v>
      </c>
      <c r="C67" s="75">
        <f t="shared" si="1"/>
        <v>2020</v>
      </c>
      <c r="D67" s="120" t="s">
        <v>195</v>
      </c>
      <c r="E67" s="120" t="s">
        <v>10</v>
      </c>
      <c r="F67" s="59" t="s">
        <v>196</v>
      </c>
      <c r="G67" s="60" t="s">
        <v>196</v>
      </c>
      <c r="H67" s="57" t="s">
        <v>47</v>
      </c>
      <c r="I67" s="17">
        <v>3</v>
      </c>
      <c r="J67" s="21" t="s">
        <v>30</v>
      </c>
      <c r="K67" s="12">
        <v>297</v>
      </c>
      <c r="L67" s="84">
        <f t="shared" si="6"/>
        <v>891</v>
      </c>
      <c r="M67" s="11">
        <f t="shared" si="7"/>
        <v>182620.5</v>
      </c>
      <c r="N67" s="43" t="s">
        <v>197</v>
      </c>
      <c r="O67" s="3">
        <v>3</v>
      </c>
      <c r="P67" s="9">
        <f t="shared" si="8"/>
        <v>0</v>
      </c>
      <c r="Q67" s="3" t="s">
        <v>198</v>
      </c>
      <c r="R67" s="23"/>
    </row>
    <row r="68" spans="1:18" customFormat="1" ht="72.5" x14ac:dyDescent="0.35">
      <c r="A68" s="41">
        <v>44166</v>
      </c>
      <c r="B68" s="40">
        <f t="shared" si="10"/>
        <v>12</v>
      </c>
      <c r="C68" s="75">
        <f t="shared" si="1"/>
        <v>2020</v>
      </c>
      <c r="D68" s="122" t="s">
        <v>207</v>
      </c>
      <c r="E68" s="120" t="s">
        <v>10</v>
      </c>
      <c r="F68" s="59" t="s">
        <v>64</v>
      </c>
      <c r="G68" s="60" t="s">
        <v>64</v>
      </c>
      <c r="H68" s="53" t="s">
        <v>47</v>
      </c>
      <c r="I68" s="17">
        <v>20</v>
      </c>
      <c r="J68" s="4" t="s">
        <v>30</v>
      </c>
      <c r="K68" s="12">
        <v>1452</v>
      </c>
      <c r="L68" s="84">
        <f t="shared" si="6"/>
        <v>29040</v>
      </c>
      <c r="M68" s="11">
        <f t="shared" si="7"/>
        <v>211660.5</v>
      </c>
      <c r="N68" s="30" t="s">
        <v>301</v>
      </c>
      <c r="O68" s="3">
        <f>1+3+3+1+5+2+1+1+1+2</f>
        <v>20</v>
      </c>
      <c r="P68" s="9">
        <f>I68-O68</f>
        <v>0</v>
      </c>
      <c r="Q68" s="23" t="s">
        <v>302</v>
      </c>
      <c r="R68" s="23"/>
    </row>
    <row r="69" spans="1:18" customFormat="1" ht="43.5" x14ac:dyDescent="0.35">
      <c r="A69" s="41">
        <v>44167</v>
      </c>
      <c r="B69" s="40">
        <f t="shared" si="10"/>
        <v>12</v>
      </c>
      <c r="C69" s="75">
        <f t="shared" si="1"/>
        <v>2020</v>
      </c>
      <c r="D69" s="122" t="s">
        <v>276</v>
      </c>
      <c r="E69" s="120" t="s">
        <v>10</v>
      </c>
      <c r="F69" s="59" t="s">
        <v>28</v>
      </c>
      <c r="G69" s="60" t="s">
        <v>28</v>
      </c>
      <c r="H69" s="53" t="s">
        <v>47</v>
      </c>
      <c r="I69" s="17">
        <v>40</v>
      </c>
      <c r="J69" s="4" t="s">
        <v>30</v>
      </c>
      <c r="K69" s="12">
        <v>25</v>
      </c>
      <c r="L69" s="84">
        <f t="shared" si="6"/>
        <v>1000</v>
      </c>
      <c r="M69" s="11">
        <f t="shared" si="7"/>
        <v>212660.5</v>
      </c>
      <c r="N69" s="30" t="s">
        <v>328</v>
      </c>
      <c r="O69" s="3">
        <f>5+10+5+5+10+5</f>
        <v>40</v>
      </c>
      <c r="P69" s="9">
        <f t="shared" si="8"/>
        <v>0</v>
      </c>
      <c r="Q69" s="23" t="s">
        <v>329</v>
      </c>
      <c r="R69" s="23"/>
    </row>
    <row r="70" spans="1:18" customFormat="1" ht="29" x14ac:dyDescent="0.35">
      <c r="A70" s="41">
        <v>44180</v>
      </c>
      <c r="B70" s="40">
        <f t="shared" si="10"/>
        <v>12</v>
      </c>
      <c r="C70" s="75">
        <f t="shared" si="1"/>
        <v>2020</v>
      </c>
      <c r="D70" s="122" t="s">
        <v>277</v>
      </c>
      <c r="E70" s="120" t="s">
        <v>10</v>
      </c>
      <c r="F70" s="59" t="s">
        <v>140</v>
      </c>
      <c r="G70" s="59" t="s">
        <v>140</v>
      </c>
      <c r="H70" s="57" t="s">
        <v>51</v>
      </c>
      <c r="I70" s="17">
        <v>2</v>
      </c>
      <c r="J70" s="21" t="s">
        <v>18</v>
      </c>
      <c r="K70" s="12">
        <v>204</v>
      </c>
      <c r="L70" s="84">
        <f t="shared" si="6"/>
        <v>408</v>
      </c>
      <c r="M70" s="11">
        <f t="shared" si="7"/>
        <v>213068.5</v>
      </c>
      <c r="N70" s="42" t="s">
        <v>209</v>
      </c>
      <c r="O70" s="3">
        <v>2</v>
      </c>
      <c r="P70" s="9">
        <f t="shared" si="8"/>
        <v>0</v>
      </c>
      <c r="Q70" s="3" t="s">
        <v>210</v>
      </c>
      <c r="R70" s="23"/>
    </row>
    <row r="71" spans="1:18" customFormat="1" x14ac:dyDescent="0.35">
      <c r="A71" s="41">
        <v>44188</v>
      </c>
      <c r="B71" s="40">
        <f t="shared" si="10"/>
        <v>12</v>
      </c>
      <c r="C71" s="75">
        <f t="shared" ref="C71:C98" si="11">YEAR(A71)</f>
        <v>2020</v>
      </c>
      <c r="D71" s="120" t="s">
        <v>236</v>
      </c>
      <c r="E71" s="120" t="s">
        <v>36</v>
      </c>
      <c r="F71" s="59" t="s">
        <v>237</v>
      </c>
      <c r="G71" s="59" t="s">
        <v>237</v>
      </c>
      <c r="H71" s="57" t="s">
        <v>51</v>
      </c>
      <c r="I71" s="17">
        <v>4</v>
      </c>
      <c r="J71" s="21" t="s">
        <v>215</v>
      </c>
      <c r="K71" s="12">
        <v>35</v>
      </c>
      <c r="L71" s="84">
        <f t="shared" si="6"/>
        <v>140</v>
      </c>
      <c r="M71" s="11">
        <f t="shared" si="7"/>
        <v>213208.5</v>
      </c>
      <c r="N71" s="66" t="s">
        <v>129</v>
      </c>
      <c r="O71" s="32">
        <v>4</v>
      </c>
      <c r="P71" s="67">
        <f>I71-O71</f>
        <v>0</v>
      </c>
      <c r="Q71" s="3" t="s">
        <v>130</v>
      </c>
      <c r="R71" s="36"/>
    </row>
    <row r="72" spans="1:18" customFormat="1" ht="29" x14ac:dyDescent="0.35">
      <c r="A72" s="41">
        <v>44202</v>
      </c>
      <c r="B72" s="40">
        <f t="shared" si="10"/>
        <v>1</v>
      </c>
      <c r="C72" s="75">
        <f t="shared" si="11"/>
        <v>2021</v>
      </c>
      <c r="D72" s="22" t="s">
        <v>278</v>
      </c>
      <c r="E72" s="120" t="s">
        <v>10</v>
      </c>
      <c r="F72" s="59" t="s">
        <v>213</v>
      </c>
      <c r="G72" s="59" t="s">
        <v>213</v>
      </c>
      <c r="H72" s="57" t="s">
        <v>47</v>
      </c>
      <c r="I72" s="17">
        <v>2</v>
      </c>
      <c r="J72" s="21" t="s">
        <v>18</v>
      </c>
      <c r="K72" s="12">
        <v>594</v>
      </c>
      <c r="L72" s="84">
        <f t="shared" si="6"/>
        <v>1188</v>
      </c>
      <c r="M72" s="11">
        <f t="shared" si="7"/>
        <v>214396.5</v>
      </c>
      <c r="N72" s="42" t="s">
        <v>218</v>
      </c>
      <c r="O72" s="3">
        <v>2</v>
      </c>
      <c r="P72" s="9">
        <f t="shared" si="8"/>
        <v>0</v>
      </c>
      <c r="Q72" s="3" t="s">
        <v>226</v>
      </c>
      <c r="R72" s="23"/>
    </row>
    <row r="73" spans="1:18" customFormat="1" x14ac:dyDescent="0.35">
      <c r="A73" s="41">
        <v>44202</v>
      </c>
      <c r="B73" s="40">
        <f t="shared" si="10"/>
        <v>1</v>
      </c>
      <c r="C73" s="75">
        <f t="shared" si="11"/>
        <v>2021</v>
      </c>
      <c r="D73" s="122" t="s">
        <v>279</v>
      </c>
      <c r="E73" s="120" t="s">
        <v>10</v>
      </c>
      <c r="F73" s="59" t="s">
        <v>214</v>
      </c>
      <c r="G73" s="59" t="s">
        <v>214</v>
      </c>
      <c r="H73" s="57" t="s">
        <v>47</v>
      </c>
      <c r="I73" s="17">
        <v>2</v>
      </c>
      <c r="J73" s="4" t="s">
        <v>0</v>
      </c>
      <c r="K73" s="12">
        <v>2600</v>
      </c>
      <c r="L73" s="84">
        <f t="shared" si="6"/>
        <v>5200</v>
      </c>
      <c r="M73" s="11">
        <f t="shared" si="7"/>
        <v>219596.5</v>
      </c>
      <c r="N73" s="42" t="s">
        <v>219</v>
      </c>
      <c r="O73" s="3">
        <v>2</v>
      </c>
      <c r="P73" s="9">
        <f t="shared" ref="P73:P137" si="12">I73-O73</f>
        <v>0</v>
      </c>
      <c r="Q73" s="3" t="s">
        <v>226</v>
      </c>
      <c r="R73" s="23"/>
    </row>
    <row r="74" spans="1:18" customFormat="1" ht="29" x14ac:dyDescent="0.35">
      <c r="A74" s="41">
        <v>44202</v>
      </c>
      <c r="B74" s="40">
        <f t="shared" si="10"/>
        <v>1</v>
      </c>
      <c r="C74" s="75">
        <f t="shared" si="11"/>
        <v>2021</v>
      </c>
      <c r="D74" s="122" t="s">
        <v>279</v>
      </c>
      <c r="E74" s="120" t="s">
        <v>10</v>
      </c>
      <c r="F74" s="59" t="s">
        <v>229</v>
      </c>
      <c r="G74" s="59" t="s">
        <v>229</v>
      </c>
      <c r="H74" s="57" t="s">
        <v>47</v>
      </c>
      <c r="I74" s="17">
        <v>1</v>
      </c>
      <c r="J74" s="4" t="s">
        <v>125</v>
      </c>
      <c r="K74" s="12">
        <v>110</v>
      </c>
      <c r="L74" s="84">
        <f t="shared" si="6"/>
        <v>110</v>
      </c>
      <c r="M74" s="11">
        <f t="shared" si="7"/>
        <v>219706.5</v>
      </c>
      <c r="N74" s="42" t="s">
        <v>220</v>
      </c>
      <c r="O74" s="3">
        <v>1</v>
      </c>
      <c r="P74" s="9">
        <f t="shared" si="12"/>
        <v>0</v>
      </c>
      <c r="Q74" s="3" t="s">
        <v>227</v>
      </c>
      <c r="R74" s="23"/>
    </row>
    <row r="75" spans="1:18" customFormat="1" x14ac:dyDescent="0.35">
      <c r="A75" s="41">
        <v>44202</v>
      </c>
      <c r="B75" s="40">
        <f t="shared" si="10"/>
        <v>1</v>
      </c>
      <c r="C75" s="75">
        <f t="shared" si="11"/>
        <v>2021</v>
      </c>
      <c r="D75" s="122" t="s">
        <v>279</v>
      </c>
      <c r="E75" s="120" t="s">
        <v>10</v>
      </c>
      <c r="F75" s="59" t="s">
        <v>230</v>
      </c>
      <c r="G75" s="59" t="s">
        <v>235</v>
      </c>
      <c r="H75" s="57" t="s">
        <v>47</v>
      </c>
      <c r="I75" s="17">
        <v>1</v>
      </c>
      <c r="J75" s="4" t="s">
        <v>215</v>
      </c>
      <c r="K75" s="12">
        <v>290</v>
      </c>
      <c r="L75" s="84">
        <f t="shared" si="6"/>
        <v>290</v>
      </c>
      <c r="M75" s="11">
        <f t="shared" si="7"/>
        <v>219996.5</v>
      </c>
      <c r="N75" s="42" t="s">
        <v>221</v>
      </c>
      <c r="O75" s="3">
        <v>1</v>
      </c>
      <c r="P75" s="9">
        <f t="shared" si="12"/>
        <v>0</v>
      </c>
      <c r="Q75" s="3" t="s">
        <v>227</v>
      </c>
      <c r="R75" s="23"/>
    </row>
    <row r="76" spans="1:18" customFormat="1" ht="29" x14ac:dyDescent="0.35">
      <c r="A76" s="41">
        <v>44202</v>
      </c>
      <c r="B76" s="40">
        <f t="shared" si="10"/>
        <v>1</v>
      </c>
      <c r="C76" s="75">
        <f t="shared" si="11"/>
        <v>2021</v>
      </c>
      <c r="D76" s="122" t="s">
        <v>279</v>
      </c>
      <c r="E76" s="120" t="s">
        <v>10</v>
      </c>
      <c r="F76" s="59" t="s">
        <v>231</v>
      </c>
      <c r="G76" s="59" t="s">
        <v>231</v>
      </c>
      <c r="H76" s="57" t="s">
        <v>47</v>
      </c>
      <c r="I76" s="17">
        <v>1</v>
      </c>
      <c r="J76" s="4" t="s">
        <v>125</v>
      </c>
      <c r="K76" s="12">
        <v>150</v>
      </c>
      <c r="L76" s="84">
        <f t="shared" si="6"/>
        <v>150</v>
      </c>
      <c r="M76" s="11">
        <f t="shared" si="7"/>
        <v>220146.5</v>
      </c>
      <c r="N76" s="42" t="s">
        <v>222</v>
      </c>
      <c r="O76" s="3">
        <v>1</v>
      </c>
      <c r="P76" s="9">
        <f t="shared" si="12"/>
        <v>0</v>
      </c>
      <c r="Q76" s="3" t="s">
        <v>227</v>
      </c>
      <c r="R76" s="23"/>
    </row>
    <row r="77" spans="1:18" customFormat="1" x14ac:dyDescent="0.35">
      <c r="A77" s="41">
        <v>44202</v>
      </c>
      <c r="B77" s="40">
        <f t="shared" si="10"/>
        <v>1</v>
      </c>
      <c r="C77" s="75">
        <f t="shared" si="11"/>
        <v>2021</v>
      </c>
      <c r="D77" s="122" t="s">
        <v>279</v>
      </c>
      <c r="E77" s="120" t="s">
        <v>10</v>
      </c>
      <c r="F77" s="59" t="s">
        <v>232</v>
      </c>
      <c r="G77" s="59" t="s">
        <v>232</v>
      </c>
      <c r="H77" s="57" t="s">
        <v>47</v>
      </c>
      <c r="I77" s="17">
        <v>3</v>
      </c>
      <c r="J77" s="4" t="s">
        <v>216</v>
      </c>
      <c r="K77" s="12">
        <v>38</v>
      </c>
      <c r="L77" s="84">
        <f t="shared" si="6"/>
        <v>114</v>
      </c>
      <c r="M77" s="11">
        <f t="shared" si="7"/>
        <v>220260.5</v>
      </c>
      <c r="N77" s="42" t="s">
        <v>223</v>
      </c>
      <c r="O77" s="3">
        <v>3</v>
      </c>
      <c r="P77" s="9">
        <f t="shared" si="12"/>
        <v>0</v>
      </c>
      <c r="Q77" s="3" t="s">
        <v>228</v>
      </c>
      <c r="R77" s="23"/>
    </row>
    <row r="78" spans="1:18" customFormat="1" ht="29" x14ac:dyDescent="0.35">
      <c r="A78" s="41">
        <v>44202</v>
      </c>
      <c r="B78" s="40">
        <f t="shared" si="10"/>
        <v>1</v>
      </c>
      <c r="C78" s="75">
        <f t="shared" si="11"/>
        <v>2021</v>
      </c>
      <c r="D78" s="122" t="s">
        <v>279</v>
      </c>
      <c r="E78" s="120" t="s">
        <v>10</v>
      </c>
      <c r="F78" s="59" t="s">
        <v>233</v>
      </c>
      <c r="G78" s="59" t="s">
        <v>233</v>
      </c>
      <c r="H78" s="57" t="s">
        <v>47</v>
      </c>
      <c r="I78" s="17">
        <v>1</v>
      </c>
      <c r="J78" s="4" t="s">
        <v>217</v>
      </c>
      <c r="K78" s="12">
        <v>290</v>
      </c>
      <c r="L78" s="84">
        <f t="shared" si="6"/>
        <v>290</v>
      </c>
      <c r="M78" s="11">
        <f t="shared" si="7"/>
        <v>220550.5</v>
      </c>
      <c r="N78" s="42" t="s">
        <v>224</v>
      </c>
      <c r="O78" s="3">
        <v>1</v>
      </c>
      <c r="P78" s="9">
        <f t="shared" si="12"/>
        <v>0</v>
      </c>
      <c r="Q78" s="3" t="s">
        <v>227</v>
      </c>
      <c r="R78" s="23"/>
    </row>
    <row r="79" spans="1:18" customFormat="1" x14ac:dyDescent="0.35">
      <c r="A79" s="41">
        <v>44202</v>
      </c>
      <c r="B79" s="40">
        <f t="shared" si="10"/>
        <v>1</v>
      </c>
      <c r="C79" s="75">
        <f t="shared" si="11"/>
        <v>2021</v>
      </c>
      <c r="D79" s="122" t="s">
        <v>279</v>
      </c>
      <c r="E79" s="120" t="s">
        <v>10</v>
      </c>
      <c r="F79" s="59" t="s">
        <v>234</v>
      </c>
      <c r="G79" s="59" t="s">
        <v>234</v>
      </c>
      <c r="H79" s="57" t="s">
        <v>47</v>
      </c>
      <c r="I79" s="17">
        <v>1</v>
      </c>
      <c r="J79" s="4" t="s">
        <v>25</v>
      </c>
      <c r="K79" s="12">
        <v>240</v>
      </c>
      <c r="L79" s="84">
        <f t="shared" si="6"/>
        <v>240</v>
      </c>
      <c r="M79" s="11">
        <f t="shared" si="7"/>
        <v>220790.5</v>
      </c>
      <c r="N79" s="42" t="s">
        <v>225</v>
      </c>
      <c r="O79" s="3">
        <v>1</v>
      </c>
      <c r="P79" s="9">
        <f t="shared" si="12"/>
        <v>0</v>
      </c>
      <c r="Q79" s="3" t="s">
        <v>227</v>
      </c>
      <c r="R79" s="23"/>
    </row>
    <row r="80" spans="1:18" customFormat="1" ht="72.5" x14ac:dyDescent="0.35">
      <c r="A80" s="41">
        <v>44202</v>
      </c>
      <c r="B80" s="40">
        <f t="shared" si="10"/>
        <v>1</v>
      </c>
      <c r="C80" s="75">
        <f t="shared" si="11"/>
        <v>2021</v>
      </c>
      <c r="D80" s="122" t="s">
        <v>281</v>
      </c>
      <c r="E80" s="120" t="s">
        <v>10</v>
      </c>
      <c r="F80" s="45" t="s">
        <v>193</v>
      </c>
      <c r="G80" s="47" t="s">
        <v>194</v>
      </c>
      <c r="H80" s="57" t="s">
        <v>47</v>
      </c>
      <c r="I80" s="17">
        <v>32</v>
      </c>
      <c r="J80" s="21" t="s">
        <v>1</v>
      </c>
      <c r="K80" s="12">
        <v>186</v>
      </c>
      <c r="L80" s="84">
        <f>SUM(I80*K80)</f>
        <v>5952</v>
      </c>
      <c r="M80" s="11">
        <f t="shared" si="7"/>
        <v>226742.5</v>
      </c>
      <c r="N80" s="30" t="s">
        <v>435</v>
      </c>
      <c r="O80" s="3">
        <f>8+5+1+1+5+1+5+1+5</f>
        <v>32</v>
      </c>
      <c r="P80" s="9">
        <f>I80-O80</f>
        <v>0</v>
      </c>
      <c r="Q80" s="23" t="s">
        <v>432</v>
      </c>
      <c r="R80" s="23"/>
    </row>
    <row r="81" spans="1:18" customFormat="1" ht="31" x14ac:dyDescent="0.35">
      <c r="A81" s="41">
        <v>44203</v>
      </c>
      <c r="B81" s="40">
        <f t="shared" si="10"/>
        <v>1</v>
      </c>
      <c r="C81" s="75">
        <f t="shared" si="11"/>
        <v>2021</v>
      </c>
      <c r="D81" s="122" t="s">
        <v>280</v>
      </c>
      <c r="E81" s="120" t="s">
        <v>10</v>
      </c>
      <c r="F81" s="59" t="s">
        <v>238</v>
      </c>
      <c r="G81" s="65" t="s">
        <v>240</v>
      </c>
      <c r="H81" s="57" t="s">
        <v>51</v>
      </c>
      <c r="I81" s="17">
        <v>16</v>
      </c>
      <c r="J81" s="21" t="s">
        <v>242</v>
      </c>
      <c r="K81" s="12">
        <v>120</v>
      </c>
      <c r="L81" s="84">
        <v>120</v>
      </c>
      <c r="M81" s="11">
        <f t="shared" si="7"/>
        <v>226862.5</v>
      </c>
      <c r="N81" s="43" t="s">
        <v>514</v>
      </c>
      <c r="O81" s="3">
        <f>6+5</f>
        <v>11</v>
      </c>
      <c r="P81" s="9">
        <f t="shared" si="12"/>
        <v>5</v>
      </c>
      <c r="Q81" s="23" t="s">
        <v>515</v>
      </c>
      <c r="R81" s="23" t="s">
        <v>241</v>
      </c>
    </row>
    <row r="82" spans="1:18" customFormat="1" ht="15.5" x14ac:dyDescent="0.35">
      <c r="A82" s="41">
        <v>44203</v>
      </c>
      <c r="B82" s="40">
        <f t="shared" si="10"/>
        <v>1</v>
      </c>
      <c r="C82" s="75">
        <f t="shared" si="11"/>
        <v>2021</v>
      </c>
      <c r="D82" s="122" t="s">
        <v>280</v>
      </c>
      <c r="E82" s="120" t="s">
        <v>10</v>
      </c>
      <c r="F82" s="59" t="s">
        <v>239</v>
      </c>
      <c r="G82" s="65" t="s">
        <v>239</v>
      </c>
      <c r="H82" s="57" t="s">
        <v>51</v>
      </c>
      <c r="I82" s="17">
        <v>1</v>
      </c>
      <c r="J82" s="21" t="s">
        <v>216</v>
      </c>
      <c r="K82" s="12">
        <v>39</v>
      </c>
      <c r="L82" s="84">
        <f t="shared" si="6"/>
        <v>39</v>
      </c>
      <c r="M82" s="11">
        <f t="shared" si="7"/>
        <v>226901.5</v>
      </c>
      <c r="N82" s="42" t="s">
        <v>243</v>
      </c>
      <c r="O82" s="3">
        <v>1</v>
      </c>
      <c r="P82" s="9">
        <f t="shared" si="12"/>
        <v>0</v>
      </c>
      <c r="Q82" s="3" t="s">
        <v>244</v>
      </c>
      <c r="R82" s="23"/>
    </row>
    <row r="83" spans="1:18" customFormat="1" ht="43.5" x14ac:dyDescent="0.35">
      <c r="A83" s="41">
        <v>44214</v>
      </c>
      <c r="B83" s="40">
        <f t="shared" si="10"/>
        <v>1</v>
      </c>
      <c r="C83" s="75">
        <f t="shared" si="11"/>
        <v>2021</v>
      </c>
      <c r="D83" s="122" t="s">
        <v>282</v>
      </c>
      <c r="E83" s="120" t="s">
        <v>10</v>
      </c>
      <c r="F83" s="59" t="s">
        <v>246</v>
      </c>
      <c r="G83" s="60" t="s">
        <v>246</v>
      </c>
      <c r="H83" s="57" t="s">
        <v>47</v>
      </c>
      <c r="I83" s="17">
        <v>12</v>
      </c>
      <c r="J83" s="21" t="s">
        <v>215</v>
      </c>
      <c r="K83" s="12">
        <v>28</v>
      </c>
      <c r="L83" s="84">
        <f t="shared" ref="L83:L93" si="13">SUM(I83*K83)</f>
        <v>336</v>
      </c>
      <c r="M83" s="11">
        <f t="shared" si="7"/>
        <v>227237.5</v>
      </c>
      <c r="N83" s="30" t="s">
        <v>428</v>
      </c>
      <c r="O83" s="3">
        <f>2+2+4+2+1</f>
        <v>11</v>
      </c>
      <c r="P83" s="9">
        <f t="shared" si="12"/>
        <v>1</v>
      </c>
      <c r="Q83" s="23" t="s">
        <v>429</v>
      </c>
      <c r="R83" s="23"/>
    </row>
    <row r="84" spans="1:18" customFormat="1" ht="29" x14ac:dyDescent="0.35">
      <c r="A84" s="41">
        <v>44214</v>
      </c>
      <c r="B84" s="73">
        <f t="shared" si="10"/>
        <v>1</v>
      </c>
      <c r="C84" s="75">
        <f t="shared" si="11"/>
        <v>2021</v>
      </c>
      <c r="D84" s="120" t="s">
        <v>282</v>
      </c>
      <c r="E84" s="120" t="s">
        <v>10</v>
      </c>
      <c r="F84" s="59" t="s">
        <v>229</v>
      </c>
      <c r="G84" s="59" t="s">
        <v>229</v>
      </c>
      <c r="H84" s="3" t="s">
        <v>47</v>
      </c>
      <c r="I84" s="17">
        <v>1</v>
      </c>
      <c r="J84" s="32" t="s">
        <v>125</v>
      </c>
      <c r="K84" s="12">
        <v>110</v>
      </c>
      <c r="L84" s="84">
        <f t="shared" si="13"/>
        <v>110</v>
      </c>
      <c r="M84" s="7">
        <f t="shared" ref="M84:M149" si="14">SUM(M83+L84)</f>
        <v>227347.5</v>
      </c>
      <c r="N84" s="71" t="s">
        <v>249</v>
      </c>
      <c r="O84" s="3">
        <v>1</v>
      </c>
      <c r="P84" s="69">
        <f t="shared" si="12"/>
        <v>0</v>
      </c>
      <c r="Q84" s="3" t="s">
        <v>244</v>
      </c>
      <c r="R84" s="23"/>
    </row>
    <row r="85" spans="1:18" customFormat="1" x14ac:dyDescent="0.35">
      <c r="A85" s="41">
        <v>44218</v>
      </c>
      <c r="B85" s="73">
        <f t="shared" si="10"/>
        <v>1</v>
      </c>
      <c r="C85" s="75">
        <f t="shared" si="11"/>
        <v>2021</v>
      </c>
      <c r="D85" s="122" t="s">
        <v>283</v>
      </c>
      <c r="E85" s="120" t="s">
        <v>10</v>
      </c>
      <c r="F85" s="59" t="s">
        <v>230</v>
      </c>
      <c r="G85" s="59" t="s">
        <v>235</v>
      </c>
      <c r="H85" s="3" t="s">
        <v>51</v>
      </c>
      <c r="I85" s="17">
        <v>1</v>
      </c>
      <c r="J85" s="32" t="s">
        <v>215</v>
      </c>
      <c r="K85" s="12">
        <v>290</v>
      </c>
      <c r="L85" s="84">
        <f t="shared" si="13"/>
        <v>290</v>
      </c>
      <c r="M85" s="7">
        <f t="shared" si="14"/>
        <v>227637.5</v>
      </c>
      <c r="N85" s="72" t="s">
        <v>261</v>
      </c>
      <c r="O85" s="3">
        <v>1</v>
      </c>
      <c r="P85" s="69">
        <f t="shared" si="12"/>
        <v>0</v>
      </c>
      <c r="Q85" s="3" t="s">
        <v>262</v>
      </c>
      <c r="R85" s="23"/>
    </row>
    <row r="86" spans="1:18" customFormat="1" ht="58" x14ac:dyDescent="0.35">
      <c r="A86" s="41">
        <v>44231</v>
      </c>
      <c r="B86" s="73">
        <f t="shared" si="10"/>
        <v>2</v>
      </c>
      <c r="C86" s="75">
        <f t="shared" si="11"/>
        <v>2021</v>
      </c>
      <c r="D86" s="122" t="s">
        <v>291</v>
      </c>
      <c r="E86" s="120" t="s">
        <v>10</v>
      </c>
      <c r="F86" s="59" t="s">
        <v>28</v>
      </c>
      <c r="G86" s="59" t="s">
        <v>28</v>
      </c>
      <c r="H86" s="3" t="s">
        <v>47</v>
      </c>
      <c r="I86" s="17">
        <v>40</v>
      </c>
      <c r="J86" s="3" t="s">
        <v>30</v>
      </c>
      <c r="K86" s="12">
        <v>30</v>
      </c>
      <c r="L86" s="84">
        <f t="shared" si="13"/>
        <v>1200</v>
      </c>
      <c r="M86" s="7">
        <f t="shared" si="14"/>
        <v>228837.5</v>
      </c>
      <c r="N86" s="22" t="s">
        <v>410</v>
      </c>
      <c r="O86" s="3">
        <f>5+10+10+5+1+9</f>
        <v>40</v>
      </c>
      <c r="P86" s="69">
        <f t="shared" si="12"/>
        <v>0</v>
      </c>
      <c r="Q86" s="23" t="s">
        <v>411</v>
      </c>
      <c r="R86" s="23"/>
    </row>
    <row r="87" spans="1:18" customFormat="1" ht="29" x14ac:dyDescent="0.35">
      <c r="A87" s="41">
        <v>44231</v>
      </c>
      <c r="B87" s="73">
        <f t="shared" ref="B87:B98" si="15">MONTH(A87)</f>
        <v>2</v>
      </c>
      <c r="C87" s="75">
        <f t="shared" si="11"/>
        <v>2021</v>
      </c>
      <c r="D87" s="120" t="s">
        <v>291</v>
      </c>
      <c r="E87" s="120" t="s">
        <v>10</v>
      </c>
      <c r="F87" s="59" t="s">
        <v>64</v>
      </c>
      <c r="G87" s="59" t="s">
        <v>64</v>
      </c>
      <c r="H87" s="3" t="s">
        <v>47</v>
      </c>
      <c r="I87" s="17">
        <v>5</v>
      </c>
      <c r="J87" s="32" t="s">
        <v>0</v>
      </c>
      <c r="K87" s="12">
        <v>1408</v>
      </c>
      <c r="L87" s="84">
        <f t="shared" si="13"/>
        <v>7040</v>
      </c>
      <c r="M87" s="7">
        <f t="shared" si="14"/>
        <v>235877.5</v>
      </c>
      <c r="N87" s="71" t="s">
        <v>382</v>
      </c>
      <c r="O87" s="3">
        <f>3+1+1</f>
        <v>5</v>
      </c>
      <c r="P87" s="69">
        <f t="shared" si="12"/>
        <v>0</v>
      </c>
      <c r="Q87" s="23" t="s">
        <v>383</v>
      </c>
      <c r="R87" s="23"/>
    </row>
    <row r="88" spans="1:18" customFormat="1" x14ac:dyDescent="0.35">
      <c r="A88" s="41">
        <v>44231</v>
      </c>
      <c r="B88" s="73">
        <f t="shared" si="15"/>
        <v>2</v>
      </c>
      <c r="C88" s="75">
        <f t="shared" si="11"/>
        <v>2021</v>
      </c>
      <c r="D88" s="120" t="s">
        <v>291</v>
      </c>
      <c r="E88" s="120" t="s">
        <v>10</v>
      </c>
      <c r="F88" s="59" t="s">
        <v>29</v>
      </c>
      <c r="G88" s="59" t="s">
        <v>29</v>
      </c>
      <c r="H88" s="3" t="s">
        <v>47</v>
      </c>
      <c r="I88" s="17">
        <v>5</v>
      </c>
      <c r="J88" s="32" t="s">
        <v>0</v>
      </c>
      <c r="K88" s="12">
        <v>1408</v>
      </c>
      <c r="L88" s="84">
        <f t="shared" si="13"/>
        <v>7040</v>
      </c>
      <c r="M88" s="7">
        <f t="shared" si="14"/>
        <v>242917.5</v>
      </c>
      <c r="N88" s="71" t="s">
        <v>293</v>
      </c>
      <c r="O88" s="3">
        <f>4+1</f>
        <v>5</v>
      </c>
      <c r="P88" s="69">
        <f t="shared" si="12"/>
        <v>0</v>
      </c>
      <c r="Q88" s="3" t="s">
        <v>290</v>
      </c>
      <c r="R88" s="23"/>
    </row>
    <row r="89" spans="1:18" customFormat="1" ht="72.5" x14ac:dyDescent="0.35">
      <c r="A89" s="41">
        <v>44231</v>
      </c>
      <c r="B89" s="73">
        <f t="shared" si="15"/>
        <v>2</v>
      </c>
      <c r="C89" s="75">
        <f t="shared" si="11"/>
        <v>2021</v>
      </c>
      <c r="D89" s="120" t="s">
        <v>291</v>
      </c>
      <c r="E89" s="120" t="s">
        <v>10</v>
      </c>
      <c r="F89" s="59" t="s">
        <v>19</v>
      </c>
      <c r="G89" s="59" t="s">
        <v>19</v>
      </c>
      <c r="H89" s="3" t="s">
        <v>47</v>
      </c>
      <c r="I89" s="17">
        <v>20</v>
      </c>
      <c r="J89" s="3" t="s">
        <v>25</v>
      </c>
      <c r="K89" s="12">
        <v>80</v>
      </c>
      <c r="L89" s="84">
        <f t="shared" si="13"/>
        <v>1600</v>
      </c>
      <c r="M89" s="7">
        <f t="shared" si="14"/>
        <v>244517.5</v>
      </c>
      <c r="N89" s="22" t="s">
        <v>395</v>
      </c>
      <c r="O89" s="3">
        <f>2+1+1+1+4+1+1+4+4+1</f>
        <v>20</v>
      </c>
      <c r="P89" s="69">
        <f t="shared" si="12"/>
        <v>0</v>
      </c>
      <c r="Q89" s="23" t="s">
        <v>396</v>
      </c>
      <c r="R89" s="23" t="s">
        <v>286</v>
      </c>
    </row>
    <row r="90" spans="1:18" customFormat="1" ht="43.5" x14ac:dyDescent="0.35">
      <c r="A90" s="41">
        <v>44231</v>
      </c>
      <c r="B90" s="73">
        <v>2</v>
      </c>
      <c r="C90" s="75">
        <f t="shared" si="11"/>
        <v>2021</v>
      </c>
      <c r="D90" s="120" t="s">
        <v>291</v>
      </c>
      <c r="E90" s="120" t="s">
        <v>10</v>
      </c>
      <c r="F90" s="59" t="s">
        <v>423</v>
      </c>
      <c r="G90" s="59" t="s">
        <v>423</v>
      </c>
      <c r="H90" s="3" t="s">
        <v>47</v>
      </c>
      <c r="I90" s="17">
        <v>1</v>
      </c>
      <c r="J90" s="3" t="s">
        <v>25</v>
      </c>
      <c r="K90" s="12">
        <v>55</v>
      </c>
      <c r="L90" s="84">
        <f t="shared" si="13"/>
        <v>55</v>
      </c>
      <c r="M90" s="7">
        <f t="shared" si="14"/>
        <v>244572.5</v>
      </c>
      <c r="N90" s="22" t="s">
        <v>289</v>
      </c>
      <c r="O90" s="3">
        <v>1</v>
      </c>
      <c r="P90" s="69">
        <f t="shared" si="12"/>
        <v>0</v>
      </c>
      <c r="Q90" s="23" t="s">
        <v>287</v>
      </c>
      <c r="R90" s="23" t="s">
        <v>288</v>
      </c>
    </row>
    <row r="91" spans="1:18" customFormat="1" ht="43.5" x14ac:dyDescent="0.35">
      <c r="A91" s="41">
        <v>44231</v>
      </c>
      <c r="B91" s="73">
        <f t="shared" si="15"/>
        <v>2</v>
      </c>
      <c r="C91" s="75">
        <f t="shared" si="11"/>
        <v>2021</v>
      </c>
      <c r="D91" s="122" t="s">
        <v>292</v>
      </c>
      <c r="E91" s="120" t="s">
        <v>10</v>
      </c>
      <c r="F91" s="45" t="s">
        <v>193</v>
      </c>
      <c r="G91" s="131" t="s">
        <v>487</v>
      </c>
      <c r="H91" s="3" t="s">
        <v>47</v>
      </c>
      <c r="I91" s="17">
        <v>20</v>
      </c>
      <c r="J91" s="32" t="s">
        <v>1</v>
      </c>
      <c r="K91" s="68">
        <v>192</v>
      </c>
      <c r="L91" s="84">
        <f t="shared" si="13"/>
        <v>3840</v>
      </c>
      <c r="M91" s="7">
        <f t="shared" si="14"/>
        <v>248412.5</v>
      </c>
      <c r="N91" s="22" t="s">
        <v>519</v>
      </c>
      <c r="O91" s="3">
        <f>4+5+10+1</f>
        <v>20</v>
      </c>
      <c r="P91" s="69">
        <f t="shared" si="12"/>
        <v>0</v>
      </c>
      <c r="Q91" s="132" t="s">
        <v>520</v>
      </c>
      <c r="R91" s="23"/>
    </row>
    <row r="92" spans="1:18" customFormat="1" ht="29" x14ac:dyDescent="0.35">
      <c r="A92" s="41">
        <v>44231</v>
      </c>
      <c r="B92" s="73">
        <f t="shared" si="15"/>
        <v>2</v>
      </c>
      <c r="C92" s="75">
        <f t="shared" si="11"/>
        <v>2021</v>
      </c>
      <c r="D92" s="120" t="s">
        <v>292</v>
      </c>
      <c r="E92" s="120" t="s">
        <v>10</v>
      </c>
      <c r="F92" s="53" t="s">
        <v>257</v>
      </c>
      <c r="G92" s="70" t="s">
        <v>257</v>
      </c>
      <c r="H92" s="3" t="s">
        <v>47</v>
      </c>
      <c r="I92" s="17">
        <v>1</v>
      </c>
      <c r="J92" s="3" t="s">
        <v>25</v>
      </c>
      <c r="K92" s="68">
        <v>90</v>
      </c>
      <c r="L92" s="84">
        <f t="shared" si="13"/>
        <v>90</v>
      </c>
      <c r="M92" s="7">
        <f t="shared" si="14"/>
        <v>248502.5</v>
      </c>
      <c r="N92" s="71" t="s">
        <v>219</v>
      </c>
      <c r="O92" s="3">
        <v>1</v>
      </c>
      <c r="P92" s="69">
        <f t="shared" si="12"/>
        <v>0</v>
      </c>
      <c r="Q92" s="3" t="s">
        <v>260</v>
      </c>
      <c r="R92" s="23"/>
    </row>
    <row r="93" spans="1:18" customFormat="1" ht="29" x14ac:dyDescent="0.35">
      <c r="A93" s="41">
        <v>44231</v>
      </c>
      <c r="B93" s="73">
        <f t="shared" si="15"/>
        <v>2</v>
      </c>
      <c r="C93" s="75">
        <f t="shared" si="11"/>
        <v>2021</v>
      </c>
      <c r="D93" s="120" t="s">
        <v>292</v>
      </c>
      <c r="E93" s="120" t="s">
        <v>10</v>
      </c>
      <c r="F93" s="59" t="s">
        <v>246</v>
      </c>
      <c r="G93" s="59" t="s">
        <v>246</v>
      </c>
      <c r="H93" s="3" t="s">
        <v>47</v>
      </c>
      <c r="I93" s="17">
        <v>12</v>
      </c>
      <c r="J93" s="32" t="s">
        <v>215</v>
      </c>
      <c r="K93" s="68">
        <v>28</v>
      </c>
      <c r="L93" s="84">
        <f t="shared" si="13"/>
        <v>336</v>
      </c>
      <c r="M93" s="7">
        <f t="shared" si="14"/>
        <v>248838.5</v>
      </c>
      <c r="N93" s="71" t="s">
        <v>391</v>
      </c>
      <c r="O93" s="3">
        <f>2+2+2</f>
        <v>6</v>
      </c>
      <c r="P93" s="69">
        <f t="shared" si="12"/>
        <v>6</v>
      </c>
      <c r="Q93" s="23" t="s">
        <v>392</v>
      </c>
      <c r="R93" s="23"/>
    </row>
    <row r="94" spans="1:18" customFormat="1" ht="29" x14ac:dyDescent="0.35">
      <c r="A94" s="41">
        <v>44235</v>
      </c>
      <c r="B94" s="73">
        <f t="shared" si="15"/>
        <v>2</v>
      </c>
      <c r="C94" s="75">
        <f t="shared" si="11"/>
        <v>2021</v>
      </c>
      <c r="D94" s="122" t="s">
        <v>284</v>
      </c>
      <c r="E94" s="120" t="s">
        <v>10</v>
      </c>
      <c r="F94" s="59" t="s">
        <v>229</v>
      </c>
      <c r="G94" s="59" t="s">
        <v>229</v>
      </c>
      <c r="H94" s="3" t="s">
        <v>47</v>
      </c>
      <c r="I94" s="17">
        <v>1</v>
      </c>
      <c r="J94" s="32" t="s">
        <v>125</v>
      </c>
      <c r="K94" s="12">
        <v>110</v>
      </c>
      <c r="L94" s="84">
        <f t="shared" ref="L94" si="16">SUM(I94*K94)</f>
        <v>110</v>
      </c>
      <c r="M94" s="7">
        <f t="shared" si="14"/>
        <v>248948.5</v>
      </c>
      <c r="N94" s="71" t="s">
        <v>261</v>
      </c>
      <c r="O94" s="3">
        <v>1</v>
      </c>
      <c r="P94" s="69">
        <f t="shared" si="12"/>
        <v>0</v>
      </c>
      <c r="Q94" s="3" t="s">
        <v>262</v>
      </c>
      <c r="R94" s="23"/>
    </row>
    <row r="95" spans="1:18" customFormat="1" x14ac:dyDescent="0.35">
      <c r="A95" s="41">
        <v>44249</v>
      </c>
      <c r="B95" s="73">
        <f t="shared" si="15"/>
        <v>2</v>
      </c>
      <c r="C95" s="75">
        <f t="shared" si="11"/>
        <v>2021</v>
      </c>
      <c r="D95" s="120"/>
      <c r="E95" s="120" t="s">
        <v>158</v>
      </c>
      <c r="F95" s="59" t="s">
        <v>273</v>
      </c>
      <c r="G95" s="59" t="s">
        <v>273</v>
      </c>
      <c r="H95" s="3" t="s">
        <v>51</v>
      </c>
      <c r="I95" s="17">
        <v>3</v>
      </c>
      <c r="J95" s="21" t="s">
        <v>138</v>
      </c>
      <c r="K95" s="12">
        <v>54</v>
      </c>
      <c r="L95" s="84">
        <v>162</v>
      </c>
      <c r="M95" s="7">
        <f t="shared" si="14"/>
        <v>249110.5</v>
      </c>
      <c r="N95" s="71" t="s">
        <v>274</v>
      </c>
      <c r="O95" s="3">
        <v>3</v>
      </c>
      <c r="P95" s="69">
        <f t="shared" si="12"/>
        <v>0</v>
      </c>
      <c r="Q95" s="3" t="s">
        <v>275</v>
      </c>
      <c r="R95" s="23"/>
    </row>
    <row r="96" spans="1:18" customFormat="1" x14ac:dyDescent="0.35">
      <c r="A96" s="41">
        <v>44251</v>
      </c>
      <c r="B96" s="73">
        <f t="shared" si="15"/>
        <v>2</v>
      </c>
      <c r="C96" s="75">
        <f t="shared" si="11"/>
        <v>2021</v>
      </c>
      <c r="D96" s="122" t="s">
        <v>285</v>
      </c>
      <c r="E96" s="120" t="s">
        <v>10</v>
      </c>
      <c r="F96" s="59" t="s">
        <v>234</v>
      </c>
      <c r="G96" s="59" t="s">
        <v>234</v>
      </c>
      <c r="H96" s="23" t="s">
        <v>51</v>
      </c>
      <c r="I96" s="17">
        <v>1</v>
      </c>
      <c r="J96" s="4" t="s">
        <v>25</v>
      </c>
      <c r="K96" s="12">
        <v>240</v>
      </c>
      <c r="L96" s="84">
        <f t="shared" ref="L96:L98" si="17">SUM(I96*K96)</f>
        <v>240</v>
      </c>
      <c r="M96" s="7">
        <f t="shared" si="14"/>
        <v>249350.5</v>
      </c>
      <c r="N96" s="72" t="s">
        <v>266</v>
      </c>
      <c r="O96" s="3">
        <v>1</v>
      </c>
      <c r="P96" s="69">
        <f t="shared" si="12"/>
        <v>0</v>
      </c>
      <c r="Q96" s="3" t="s">
        <v>269</v>
      </c>
      <c r="R96" s="23"/>
    </row>
    <row r="97" spans="1:20" customFormat="1" ht="29.5" customHeight="1" x14ac:dyDescent="0.35">
      <c r="A97" s="41">
        <v>44253</v>
      </c>
      <c r="B97" s="73">
        <f t="shared" si="15"/>
        <v>2</v>
      </c>
      <c r="C97" s="75">
        <f t="shared" si="11"/>
        <v>2021</v>
      </c>
      <c r="D97" s="122" t="s">
        <v>311</v>
      </c>
      <c r="E97" s="119" t="s">
        <v>10</v>
      </c>
      <c r="F97" s="59" t="s">
        <v>29</v>
      </c>
      <c r="G97" s="60" t="s">
        <v>29</v>
      </c>
      <c r="H97" s="57" t="s">
        <v>47</v>
      </c>
      <c r="I97" s="17">
        <v>10</v>
      </c>
      <c r="J97" s="21" t="s">
        <v>0</v>
      </c>
      <c r="K97" s="12">
        <v>1408</v>
      </c>
      <c r="L97" s="84">
        <f t="shared" si="17"/>
        <v>14080</v>
      </c>
      <c r="M97" s="7">
        <f t="shared" si="14"/>
        <v>263430.5</v>
      </c>
      <c r="N97" s="71" t="s">
        <v>305</v>
      </c>
      <c r="O97" s="3">
        <f>6+2+2</f>
        <v>10</v>
      </c>
      <c r="P97" s="69">
        <f t="shared" si="12"/>
        <v>0</v>
      </c>
      <c r="Q97" s="23" t="s">
        <v>306</v>
      </c>
      <c r="R97" s="23"/>
    </row>
    <row r="98" spans="1:20" customFormat="1" ht="43.5" x14ac:dyDescent="0.35">
      <c r="A98" s="41">
        <v>44253</v>
      </c>
      <c r="B98" s="17">
        <f t="shared" si="15"/>
        <v>2</v>
      </c>
      <c r="C98" s="75">
        <f t="shared" si="11"/>
        <v>2021</v>
      </c>
      <c r="D98" s="120" t="s">
        <v>311</v>
      </c>
      <c r="E98" s="116" t="s">
        <v>10</v>
      </c>
      <c r="F98" s="3" t="s">
        <v>16</v>
      </c>
      <c r="G98" s="3" t="s">
        <v>16</v>
      </c>
      <c r="H98" s="3" t="s">
        <v>47</v>
      </c>
      <c r="I98" s="17">
        <v>11</v>
      </c>
      <c r="J98" s="3" t="s">
        <v>18</v>
      </c>
      <c r="K98" s="12">
        <v>198</v>
      </c>
      <c r="L98" s="84">
        <f t="shared" si="17"/>
        <v>2178</v>
      </c>
      <c r="M98" s="7">
        <f t="shared" si="14"/>
        <v>265608.5</v>
      </c>
      <c r="N98" s="82" t="s">
        <v>324</v>
      </c>
      <c r="O98" s="3">
        <v>11</v>
      </c>
      <c r="P98" s="69">
        <f t="shared" si="12"/>
        <v>0</v>
      </c>
      <c r="Q98" s="82" t="s">
        <v>325</v>
      </c>
      <c r="R98" s="23"/>
    </row>
    <row r="99" spans="1:20" customFormat="1" x14ac:dyDescent="0.35">
      <c r="A99" s="41">
        <v>44253</v>
      </c>
      <c r="B99" s="73">
        <f t="shared" ref="B99:B102" si="18">MONTH(A99)</f>
        <v>2</v>
      </c>
      <c r="C99" s="75">
        <f t="shared" ref="C99:C102" si="19">YEAR(A99)</f>
        <v>2021</v>
      </c>
      <c r="D99" s="122" t="s">
        <v>312</v>
      </c>
      <c r="E99" s="119" t="s">
        <v>10</v>
      </c>
      <c r="F99" s="59" t="s">
        <v>29</v>
      </c>
      <c r="G99" s="60" t="s">
        <v>29</v>
      </c>
      <c r="H99" s="57" t="s">
        <v>47</v>
      </c>
      <c r="I99" s="17">
        <v>10</v>
      </c>
      <c r="J99" s="21" t="s">
        <v>0</v>
      </c>
      <c r="K99" s="12">
        <v>1408</v>
      </c>
      <c r="L99" s="84">
        <f t="shared" ref="L99:L115" si="20">SUM(I99*K99)</f>
        <v>14080</v>
      </c>
      <c r="M99" s="7">
        <f t="shared" si="14"/>
        <v>279688.5</v>
      </c>
      <c r="N99" s="71" t="s">
        <v>326</v>
      </c>
      <c r="O99" s="3">
        <f>5+5</f>
        <v>10</v>
      </c>
      <c r="P99" s="69">
        <f t="shared" si="12"/>
        <v>0</v>
      </c>
      <c r="Q99" s="23" t="s">
        <v>327</v>
      </c>
      <c r="R99" s="23"/>
    </row>
    <row r="100" spans="1:20" customFormat="1" ht="29" x14ac:dyDescent="0.35">
      <c r="A100" s="41">
        <v>44263</v>
      </c>
      <c r="B100" s="73">
        <f t="shared" si="18"/>
        <v>3</v>
      </c>
      <c r="C100" s="75">
        <f t="shared" si="19"/>
        <v>2021</v>
      </c>
      <c r="D100" s="120">
        <v>18634</v>
      </c>
      <c r="E100" s="119" t="s">
        <v>313</v>
      </c>
      <c r="F100" s="59" t="s">
        <v>323</v>
      </c>
      <c r="G100" s="59" t="s">
        <v>323</v>
      </c>
      <c r="H100" s="57" t="s">
        <v>51</v>
      </c>
      <c r="I100" s="17">
        <v>20</v>
      </c>
      <c r="J100" s="21" t="s">
        <v>138</v>
      </c>
      <c r="K100" s="12">
        <v>42</v>
      </c>
      <c r="L100" s="84">
        <f t="shared" si="20"/>
        <v>840</v>
      </c>
      <c r="M100" s="7">
        <f t="shared" si="14"/>
        <v>280528.5</v>
      </c>
      <c r="N100" s="72" t="s">
        <v>398</v>
      </c>
      <c r="O100" s="3">
        <f>4+1</f>
        <v>5</v>
      </c>
      <c r="P100" s="69">
        <f t="shared" si="12"/>
        <v>15</v>
      </c>
      <c r="Q100" s="23" t="s">
        <v>399</v>
      </c>
      <c r="R100" s="23"/>
    </row>
    <row r="101" spans="1:20" customFormat="1" ht="29" x14ac:dyDescent="0.35">
      <c r="A101" s="41">
        <v>44277</v>
      </c>
      <c r="B101" s="73">
        <f t="shared" si="18"/>
        <v>3</v>
      </c>
      <c r="C101" s="75">
        <f t="shared" si="19"/>
        <v>2021</v>
      </c>
      <c r="D101" s="122" t="s">
        <v>314</v>
      </c>
      <c r="E101" s="119"/>
      <c r="F101" s="3" t="s">
        <v>16</v>
      </c>
      <c r="G101" s="3" t="s">
        <v>16</v>
      </c>
      <c r="H101" s="57" t="s">
        <v>51</v>
      </c>
      <c r="I101" s="17">
        <v>5</v>
      </c>
      <c r="J101" s="31" t="s">
        <v>18</v>
      </c>
      <c r="K101" s="12">
        <v>210</v>
      </c>
      <c r="L101" s="84">
        <f t="shared" si="20"/>
        <v>1050</v>
      </c>
      <c r="M101" s="7">
        <f t="shared" si="14"/>
        <v>281578.5</v>
      </c>
      <c r="N101" s="71" t="s">
        <v>408</v>
      </c>
      <c r="O101" s="3">
        <f>1+1+3</f>
        <v>5</v>
      </c>
      <c r="P101" s="69">
        <f t="shared" si="12"/>
        <v>0</v>
      </c>
      <c r="Q101" s="23" t="s">
        <v>409</v>
      </c>
      <c r="R101" s="23"/>
    </row>
    <row r="102" spans="1:20" customFormat="1" x14ac:dyDescent="0.35">
      <c r="A102" s="41">
        <v>44278</v>
      </c>
      <c r="B102" s="73">
        <f t="shared" si="18"/>
        <v>3</v>
      </c>
      <c r="C102" s="75">
        <f t="shared" si="19"/>
        <v>2021</v>
      </c>
      <c r="D102" s="120">
        <v>18674</v>
      </c>
      <c r="E102" s="119" t="s">
        <v>313</v>
      </c>
      <c r="F102" s="59" t="s">
        <v>316</v>
      </c>
      <c r="G102" s="59" t="s">
        <v>316</v>
      </c>
      <c r="H102" s="57" t="s">
        <v>51</v>
      </c>
      <c r="I102" s="17">
        <v>2</v>
      </c>
      <c r="J102" s="31" t="s">
        <v>318</v>
      </c>
      <c r="K102" s="12">
        <v>50</v>
      </c>
      <c r="L102" s="84">
        <f t="shared" si="20"/>
        <v>100</v>
      </c>
      <c r="M102" s="7">
        <f t="shared" si="14"/>
        <v>281678.5</v>
      </c>
      <c r="N102" s="71" t="s">
        <v>390</v>
      </c>
      <c r="O102" s="3">
        <v>1</v>
      </c>
      <c r="P102" s="69">
        <f t="shared" si="12"/>
        <v>1</v>
      </c>
      <c r="Q102" s="23" t="s">
        <v>322</v>
      </c>
      <c r="R102" s="23"/>
    </row>
    <row r="103" spans="1:20" customFormat="1" x14ac:dyDescent="0.35">
      <c r="A103" s="41">
        <v>44278</v>
      </c>
      <c r="B103" s="73">
        <f t="shared" ref="B103:B107" si="21">MONTH(A103)</f>
        <v>3</v>
      </c>
      <c r="C103" s="75">
        <f t="shared" ref="C103:C107" si="22">YEAR(A103)</f>
        <v>2021</v>
      </c>
      <c r="D103" s="120">
        <v>18674</v>
      </c>
      <c r="E103" s="119" t="s">
        <v>313</v>
      </c>
      <c r="F103" s="59" t="s">
        <v>317</v>
      </c>
      <c r="G103" s="59" t="s">
        <v>317</v>
      </c>
      <c r="H103" s="57" t="s">
        <v>51</v>
      </c>
      <c r="I103" s="17">
        <v>2</v>
      </c>
      <c r="J103" s="31" t="s">
        <v>318</v>
      </c>
      <c r="K103" s="12">
        <v>50</v>
      </c>
      <c r="L103" s="84">
        <f t="shared" si="20"/>
        <v>100</v>
      </c>
      <c r="M103" s="7">
        <f t="shared" si="14"/>
        <v>281778.5</v>
      </c>
      <c r="N103" s="71" t="s">
        <v>390</v>
      </c>
      <c r="O103" s="3">
        <v>2</v>
      </c>
      <c r="P103" s="69">
        <f t="shared" si="12"/>
        <v>0</v>
      </c>
      <c r="Q103" s="23" t="s">
        <v>321</v>
      </c>
      <c r="R103" s="23"/>
    </row>
    <row r="104" spans="1:20" customFormat="1" ht="29" x14ac:dyDescent="0.35">
      <c r="A104" s="41">
        <v>44278</v>
      </c>
      <c r="B104" s="73">
        <f t="shared" si="21"/>
        <v>3</v>
      </c>
      <c r="C104" s="75">
        <f t="shared" si="22"/>
        <v>2021</v>
      </c>
      <c r="D104" s="122" t="s">
        <v>315</v>
      </c>
      <c r="E104" s="119" t="s">
        <v>310</v>
      </c>
      <c r="F104" s="59" t="s">
        <v>319</v>
      </c>
      <c r="G104" s="59" t="s">
        <v>319</v>
      </c>
      <c r="H104" s="57" t="s">
        <v>51</v>
      </c>
      <c r="I104" s="17">
        <v>4</v>
      </c>
      <c r="J104" s="31" t="s">
        <v>125</v>
      </c>
      <c r="K104" s="12">
        <v>305</v>
      </c>
      <c r="L104" s="84">
        <f t="shared" si="20"/>
        <v>1220</v>
      </c>
      <c r="M104" s="7">
        <f t="shared" si="14"/>
        <v>282998.5</v>
      </c>
      <c r="N104" s="22" t="s">
        <v>536</v>
      </c>
      <c r="O104" s="3">
        <f>1+2+1</f>
        <v>4</v>
      </c>
      <c r="P104" s="69">
        <f t="shared" si="12"/>
        <v>0</v>
      </c>
      <c r="Q104" s="23" t="s">
        <v>535</v>
      </c>
      <c r="R104" s="23"/>
    </row>
    <row r="105" spans="1:20" customFormat="1" ht="29" x14ac:dyDescent="0.35">
      <c r="A105" s="41">
        <v>44279</v>
      </c>
      <c r="B105" s="73">
        <f t="shared" si="21"/>
        <v>3</v>
      </c>
      <c r="C105" s="75">
        <f t="shared" si="22"/>
        <v>2021</v>
      </c>
      <c r="D105" s="122" t="s">
        <v>332</v>
      </c>
      <c r="E105" s="119" t="s">
        <v>10</v>
      </c>
      <c r="F105" s="59" t="s">
        <v>229</v>
      </c>
      <c r="G105" s="59" t="s">
        <v>229</v>
      </c>
      <c r="H105" s="57" t="s">
        <v>51</v>
      </c>
      <c r="I105" s="17">
        <v>2</v>
      </c>
      <c r="J105" s="31" t="s">
        <v>125</v>
      </c>
      <c r="K105" s="12">
        <v>110</v>
      </c>
      <c r="L105" s="84">
        <f t="shared" si="20"/>
        <v>220</v>
      </c>
      <c r="M105" s="7">
        <f t="shared" si="14"/>
        <v>283218.5</v>
      </c>
      <c r="N105" s="72" t="s">
        <v>320</v>
      </c>
      <c r="O105" s="3">
        <v>2</v>
      </c>
      <c r="P105" s="69">
        <f t="shared" si="12"/>
        <v>0</v>
      </c>
      <c r="Q105" s="23" t="s">
        <v>321</v>
      </c>
      <c r="R105" s="23"/>
    </row>
    <row r="106" spans="1:20" customFormat="1" ht="43.5" x14ac:dyDescent="0.35">
      <c r="A106" s="41">
        <v>44279</v>
      </c>
      <c r="B106" s="73">
        <f t="shared" si="21"/>
        <v>3</v>
      </c>
      <c r="C106" s="75">
        <f t="shared" si="22"/>
        <v>2021</v>
      </c>
      <c r="D106" s="123" t="s">
        <v>333</v>
      </c>
      <c r="E106" s="119" t="s">
        <v>10</v>
      </c>
      <c r="F106" s="105" t="s">
        <v>19</v>
      </c>
      <c r="G106" s="59" t="s">
        <v>19</v>
      </c>
      <c r="H106" s="57" t="s">
        <v>51</v>
      </c>
      <c r="I106" s="17">
        <v>16</v>
      </c>
      <c r="J106" s="31" t="s">
        <v>25</v>
      </c>
      <c r="K106" s="12">
        <v>80</v>
      </c>
      <c r="L106" s="84">
        <f t="shared" si="20"/>
        <v>1280</v>
      </c>
      <c r="M106" s="7">
        <f t="shared" si="14"/>
        <v>284498.5</v>
      </c>
      <c r="N106" s="28" t="s">
        <v>397</v>
      </c>
      <c r="O106" s="3">
        <f>5+1+2+4+4</f>
        <v>16</v>
      </c>
      <c r="P106" s="69">
        <f t="shared" si="12"/>
        <v>0</v>
      </c>
      <c r="Q106" s="23" t="s">
        <v>412</v>
      </c>
      <c r="R106" s="23"/>
    </row>
    <row r="107" spans="1:20" customFormat="1" ht="29" x14ac:dyDescent="0.35">
      <c r="A107" s="41">
        <v>44279</v>
      </c>
      <c r="B107" s="73">
        <f t="shared" si="21"/>
        <v>3</v>
      </c>
      <c r="C107" s="75">
        <f t="shared" si="22"/>
        <v>2021</v>
      </c>
      <c r="D107" s="122" t="s">
        <v>333</v>
      </c>
      <c r="E107" s="119" t="s">
        <v>10</v>
      </c>
      <c r="F107" s="59" t="s">
        <v>423</v>
      </c>
      <c r="G107" s="59" t="s">
        <v>423</v>
      </c>
      <c r="H107" s="57" t="s">
        <v>51</v>
      </c>
      <c r="I107" s="17">
        <v>8</v>
      </c>
      <c r="J107" s="31" t="s">
        <v>25</v>
      </c>
      <c r="K107" s="12">
        <v>60</v>
      </c>
      <c r="L107" s="84">
        <f t="shared" si="20"/>
        <v>480</v>
      </c>
      <c r="M107" s="7">
        <f t="shared" si="14"/>
        <v>284978.5</v>
      </c>
      <c r="N107" s="22" t="s">
        <v>441</v>
      </c>
      <c r="O107" s="3">
        <f>4+3+1</f>
        <v>8</v>
      </c>
      <c r="P107" s="69">
        <f t="shared" si="12"/>
        <v>0</v>
      </c>
      <c r="Q107" s="23" t="s">
        <v>440</v>
      </c>
      <c r="R107" s="23"/>
    </row>
    <row r="108" spans="1:20" s="81" customFormat="1" ht="43" customHeight="1" x14ac:dyDescent="0.35">
      <c r="A108" s="41">
        <v>44284</v>
      </c>
      <c r="B108" s="73">
        <f t="shared" ref="B108:B109" si="23">MONTH(A108)</f>
        <v>3</v>
      </c>
      <c r="C108" s="75">
        <f t="shared" ref="C108:C111" si="24">YEAR(A108)</f>
        <v>2021</v>
      </c>
      <c r="D108" s="123" t="s">
        <v>336</v>
      </c>
      <c r="E108" s="119" t="s">
        <v>10</v>
      </c>
      <c r="F108" s="105" t="s">
        <v>146</v>
      </c>
      <c r="G108" s="60" t="s">
        <v>180</v>
      </c>
      <c r="H108" s="91" t="s">
        <v>47</v>
      </c>
      <c r="I108" s="92">
        <v>16</v>
      </c>
      <c r="J108" s="91" t="s">
        <v>1</v>
      </c>
      <c r="K108" s="106">
        <v>394.2</v>
      </c>
      <c r="L108" s="93">
        <f t="shared" si="20"/>
        <v>6307.2</v>
      </c>
      <c r="M108" s="7">
        <f t="shared" si="14"/>
        <v>291285.7</v>
      </c>
      <c r="N108" s="111" t="s">
        <v>430</v>
      </c>
      <c r="O108" s="91">
        <f>1+4+4+4+1</f>
        <v>14</v>
      </c>
      <c r="P108" s="69">
        <f t="shared" si="12"/>
        <v>2</v>
      </c>
      <c r="Q108" s="95" t="s">
        <v>431</v>
      </c>
      <c r="R108" s="95"/>
      <c r="S108" s="96"/>
      <c r="T108" s="96"/>
    </row>
    <row r="109" spans="1:20" s="81" customFormat="1" ht="29" x14ac:dyDescent="0.35">
      <c r="A109" s="41">
        <v>44284</v>
      </c>
      <c r="B109" s="73">
        <f t="shared" si="23"/>
        <v>3</v>
      </c>
      <c r="C109" s="75">
        <f t="shared" si="24"/>
        <v>2021</v>
      </c>
      <c r="D109" s="122" t="s">
        <v>335</v>
      </c>
      <c r="E109" s="119" t="s">
        <v>10</v>
      </c>
      <c r="F109" s="45" t="s">
        <v>485</v>
      </c>
      <c r="G109" s="47" t="s">
        <v>486</v>
      </c>
      <c r="H109" s="91" t="s">
        <v>47</v>
      </c>
      <c r="I109" s="92">
        <v>5</v>
      </c>
      <c r="J109" s="91" t="s">
        <v>1</v>
      </c>
      <c r="K109" s="91">
        <v>219</v>
      </c>
      <c r="L109" s="93">
        <f t="shared" si="20"/>
        <v>1095</v>
      </c>
      <c r="M109" s="7">
        <f t="shared" si="14"/>
        <v>292380.7</v>
      </c>
      <c r="N109" s="111" t="s">
        <v>521</v>
      </c>
      <c r="O109" s="91">
        <f>2+2+1</f>
        <v>5</v>
      </c>
      <c r="P109" s="94">
        <f t="shared" si="12"/>
        <v>0</v>
      </c>
      <c r="Q109" s="95" t="s">
        <v>522</v>
      </c>
      <c r="R109" s="95"/>
      <c r="S109" s="96"/>
      <c r="T109" s="96"/>
    </row>
    <row r="110" spans="1:20" ht="29" x14ac:dyDescent="0.35">
      <c r="A110" s="97">
        <v>44285</v>
      </c>
      <c r="B110" s="98">
        <f>MONTH(A110)</f>
        <v>3</v>
      </c>
      <c r="C110" s="99">
        <f t="shared" si="24"/>
        <v>2021</v>
      </c>
      <c r="D110" s="124" t="s">
        <v>337</v>
      </c>
      <c r="E110" s="125" t="s">
        <v>10</v>
      </c>
      <c r="F110" s="100" t="s">
        <v>340</v>
      </c>
      <c r="G110" s="100" t="s">
        <v>340</v>
      </c>
      <c r="H110" s="91" t="s">
        <v>51</v>
      </c>
      <c r="I110" s="92">
        <v>2</v>
      </c>
      <c r="J110" s="91" t="s">
        <v>0</v>
      </c>
      <c r="K110" s="91">
        <v>1620</v>
      </c>
      <c r="L110" s="93">
        <f t="shared" si="20"/>
        <v>3240</v>
      </c>
      <c r="M110" s="7">
        <f t="shared" si="14"/>
        <v>295620.7</v>
      </c>
      <c r="N110" s="104" t="s">
        <v>339</v>
      </c>
      <c r="O110" s="91">
        <v>2</v>
      </c>
      <c r="P110" s="94">
        <f t="shared" si="12"/>
        <v>0</v>
      </c>
      <c r="Q110" s="91" t="s">
        <v>338</v>
      </c>
      <c r="R110" s="95"/>
    </row>
    <row r="111" spans="1:20" x14ac:dyDescent="0.35">
      <c r="A111" s="97">
        <v>44287</v>
      </c>
      <c r="B111" s="98">
        <f>MONTH(A111)</f>
        <v>4</v>
      </c>
      <c r="C111" s="99">
        <f t="shared" si="24"/>
        <v>2021</v>
      </c>
      <c r="D111" s="124" t="s">
        <v>377</v>
      </c>
      <c r="E111" s="125" t="s">
        <v>10</v>
      </c>
      <c r="F111" s="105" t="s">
        <v>29</v>
      </c>
      <c r="G111" s="60" t="s">
        <v>29</v>
      </c>
      <c r="H111" s="91" t="s">
        <v>47</v>
      </c>
      <c r="I111" s="92">
        <v>5</v>
      </c>
      <c r="J111" s="91" t="s">
        <v>0</v>
      </c>
      <c r="K111" s="106">
        <v>1650</v>
      </c>
      <c r="L111" s="93">
        <f t="shared" si="20"/>
        <v>8250</v>
      </c>
      <c r="M111" s="7">
        <f t="shared" si="14"/>
        <v>303870.7</v>
      </c>
      <c r="N111" s="104" t="s">
        <v>343</v>
      </c>
      <c r="O111" s="91">
        <v>5</v>
      </c>
      <c r="P111" s="94">
        <f t="shared" si="12"/>
        <v>0</v>
      </c>
      <c r="Q111" s="91" t="s">
        <v>344</v>
      </c>
      <c r="R111" s="95"/>
    </row>
    <row r="112" spans="1:20" ht="29" x14ac:dyDescent="0.35">
      <c r="A112" s="97">
        <v>44291</v>
      </c>
      <c r="B112" s="98">
        <f t="shared" ref="B112:B116" si="25">MONTH(A112)</f>
        <v>4</v>
      </c>
      <c r="C112" s="99">
        <f t="shared" ref="C112:C116" si="26">YEAR(A112)</f>
        <v>2021</v>
      </c>
      <c r="D112" s="124" t="s">
        <v>378</v>
      </c>
      <c r="E112" s="125" t="s">
        <v>10</v>
      </c>
      <c r="F112" s="105" t="s">
        <v>29</v>
      </c>
      <c r="G112" s="60" t="s">
        <v>29</v>
      </c>
      <c r="H112" s="91" t="s">
        <v>47</v>
      </c>
      <c r="I112" s="92">
        <v>10</v>
      </c>
      <c r="J112" s="91" t="s">
        <v>0</v>
      </c>
      <c r="K112" s="106">
        <v>1650</v>
      </c>
      <c r="L112" s="93">
        <f t="shared" si="20"/>
        <v>16500</v>
      </c>
      <c r="M112" s="7">
        <f t="shared" si="14"/>
        <v>320370.7</v>
      </c>
      <c r="N112" s="111" t="s">
        <v>374</v>
      </c>
      <c r="O112" s="91">
        <f>1+2+5+2</f>
        <v>10</v>
      </c>
      <c r="P112" s="94">
        <f t="shared" si="12"/>
        <v>0</v>
      </c>
      <c r="Q112" s="95" t="s">
        <v>375</v>
      </c>
      <c r="R112" s="95"/>
    </row>
    <row r="113" spans="1:18" ht="29" x14ac:dyDescent="0.35">
      <c r="A113" s="97">
        <v>44291</v>
      </c>
      <c r="B113" s="98">
        <f t="shared" si="25"/>
        <v>4</v>
      </c>
      <c r="C113" s="99">
        <f t="shared" si="26"/>
        <v>2021</v>
      </c>
      <c r="D113" s="124" t="s">
        <v>378</v>
      </c>
      <c r="E113" s="125" t="s">
        <v>10</v>
      </c>
      <c r="F113" s="59" t="s">
        <v>140</v>
      </c>
      <c r="G113" s="60" t="s">
        <v>140</v>
      </c>
      <c r="H113" s="91" t="s">
        <v>47</v>
      </c>
      <c r="I113" s="92">
        <v>2</v>
      </c>
      <c r="J113" s="91" t="s">
        <v>18</v>
      </c>
      <c r="K113" s="91">
        <v>230</v>
      </c>
      <c r="L113" s="93">
        <f t="shared" si="20"/>
        <v>460</v>
      </c>
      <c r="M113" s="7">
        <f t="shared" si="14"/>
        <v>320830.7</v>
      </c>
      <c r="N113" s="108" t="s">
        <v>348</v>
      </c>
      <c r="O113" s="91">
        <v>2</v>
      </c>
      <c r="P113" s="94">
        <f t="shared" si="12"/>
        <v>0</v>
      </c>
      <c r="Q113" s="91" t="s">
        <v>349</v>
      </c>
      <c r="R113" s="95"/>
    </row>
    <row r="114" spans="1:18" ht="29" x14ac:dyDescent="0.35">
      <c r="A114" s="97">
        <v>44292</v>
      </c>
      <c r="B114" s="98">
        <f t="shared" si="25"/>
        <v>4</v>
      </c>
      <c r="C114" s="99">
        <f t="shared" si="26"/>
        <v>2021</v>
      </c>
      <c r="D114" s="126" t="s">
        <v>379</v>
      </c>
      <c r="E114" s="125" t="s">
        <v>10</v>
      </c>
      <c r="F114" s="59" t="s">
        <v>141</v>
      </c>
      <c r="G114" s="60" t="s">
        <v>141</v>
      </c>
      <c r="H114" s="57" t="s">
        <v>47</v>
      </c>
      <c r="I114" s="17">
        <v>5</v>
      </c>
      <c r="J114" s="21" t="s">
        <v>18</v>
      </c>
      <c r="K114" s="91">
        <v>222</v>
      </c>
      <c r="L114" s="93">
        <f t="shared" si="20"/>
        <v>1110</v>
      </c>
      <c r="M114" s="7">
        <f t="shared" si="14"/>
        <v>321940.7</v>
      </c>
      <c r="N114" s="108" t="s">
        <v>508</v>
      </c>
      <c r="O114" s="91">
        <f>1+4</f>
        <v>5</v>
      </c>
      <c r="P114" s="94">
        <f t="shared" si="12"/>
        <v>0</v>
      </c>
      <c r="Q114" s="91" t="s">
        <v>509</v>
      </c>
      <c r="R114" s="95"/>
    </row>
    <row r="115" spans="1:18" ht="29" x14ac:dyDescent="0.35">
      <c r="A115" s="109" t="s">
        <v>356</v>
      </c>
      <c r="B115" s="73">
        <f t="shared" si="25"/>
        <v>4</v>
      </c>
      <c r="C115" s="75">
        <f t="shared" si="26"/>
        <v>2021</v>
      </c>
      <c r="D115" s="126" t="s">
        <v>358</v>
      </c>
      <c r="E115" s="125" t="s">
        <v>345</v>
      </c>
      <c r="F115" s="105" t="s">
        <v>363</v>
      </c>
      <c r="G115" s="59" t="s">
        <v>363</v>
      </c>
      <c r="H115" s="3" t="s">
        <v>51</v>
      </c>
      <c r="I115" s="17">
        <v>6</v>
      </c>
      <c r="J115" s="32" t="s">
        <v>0</v>
      </c>
      <c r="K115" s="12">
        <v>1672</v>
      </c>
      <c r="L115" s="93">
        <f t="shared" si="20"/>
        <v>10032</v>
      </c>
      <c r="M115" s="7">
        <f t="shared" si="14"/>
        <v>331972.7</v>
      </c>
      <c r="N115" s="130" t="s">
        <v>436</v>
      </c>
      <c r="O115" s="91">
        <f>1+3+1+1</f>
        <v>6</v>
      </c>
      <c r="P115" s="94">
        <f t="shared" si="12"/>
        <v>0</v>
      </c>
      <c r="Q115" s="95" t="s">
        <v>424</v>
      </c>
      <c r="R115" s="95"/>
    </row>
    <row r="116" spans="1:18" ht="29" x14ac:dyDescent="0.35">
      <c r="A116" s="109" t="s">
        <v>356</v>
      </c>
      <c r="B116" s="73">
        <f t="shared" si="25"/>
        <v>4</v>
      </c>
      <c r="C116" s="75">
        <f t="shared" si="26"/>
        <v>2021</v>
      </c>
      <c r="D116" s="127" t="s">
        <v>358</v>
      </c>
      <c r="E116" s="125" t="s">
        <v>345</v>
      </c>
      <c r="F116" s="105" t="s">
        <v>364</v>
      </c>
      <c r="G116" s="60" t="s">
        <v>364</v>
      </c>
      <c r="H116" s="55" t="s">
        <v>51</v>
      </c>
      <c r="I116" s="17">
        <v>2</v>
      </c>
      <c r="J116" s="21" t="s">
        <v>0</v>
      </c>
      <c r="K116" s="106">
        <v>1672</v>
      </c>
      <c r="L116" s="93">
        <f t="shared" ref="L116:L132" si="27">SUM(I116*K116)</f>
        <v>3344</v>
      </c>
      <c r="M116" s="7">
        <f t="shared" si="14"/>
        <v>335316.7</v>
      </c>
      <c r="N116" s="104" t="s">
        <v>360</v>
      </c>
      <c r="O116" s="91">
        <f>1+1</f>
        <v>2</v>
      </c>
      <c r="P116" s="94">
        <f t="shared" si="12"/>
        <v>0</v>
      </c>
      <c r="Q116" s="91" t="s">
        <v>361</v>
      </c>
      <c r="R116" s="95"/>
    </row>
    <row r="117" spans="1:18" ht="29" x14ac:dyDescent="0.35">
      <c r="A117" s="97">
        <v>44294</v>
      </c>
      <c r="B117" s="73">
        <f t="shared" ref="B117" si="28">MONTH(A117)</f>
        <v>4</v>
      </c>
      <c r="C117" s="75">
        <f t="shared" ref="C117" si="29">YEAR(A117)</f>
        <v>2021</v>
      </c>
      <c r="D117" s="126" t="s">
        <v>380</v>
      </c>
      <c r="E117" s="125" t="s">
        <v>10</v>
      </c>
      <c r="F117" s="105" t="s">
        <v>233</v>
      </c>
      <c r="G117" s="60" t="s">
        <v>233</v>
      </c>
      <c r="H117" s="55" t="s">
        <v>47</v>
      </c>
      <c r="I117" s="17">
        <v>2</v>
      </c>
      <c r="J117" s="107" t="s">
        <v>217</v>
      </c>
      <c r="K117" s="106">
        <v>290</v>
      </c>
      <c r="L117" s="93">
        <f t="shared" si="27"/>
        <v>580</v>
      </c>
      <c r="M117" s="7">
        <f t="shared" si="14"/>
        <v>335896.7</v>
      </c>
      <c r="N117" s="104" t="s">
        <v>343</v>
      </c>
      <c r="O117" s="91">
        <v>2</v>
      </c>
      <c r="P117" s="94">
        <f t="shared" si="12"/>
        <v>0</v>
      </c>
      <c r="Q117" s="91" t="s">
        <v>350</v>
      </c>
      <c r="R117" s="95" t="s">
        <v>351</v>
      </c>
    </row>
    <row r="118" spans="1:18" x14ac:dyDescent="0.35">
      <c r="A118" s="97">
        <v>44306</v>
      </c>
      <c r="B118" s="73">
        <f t="shared" ref="B118:B119" si="30">MONTH(A118)</f>
        <v>4</v>
      </c>
      <c r="C118" s="75">
        <f t="shared" ref="C118:C119" si="31">YEAR(A118)</f>
        <v>2021</v>
      </c>
      <c r="D118" s="126" t="s">
        <v>381</v>
      </c>
      <c r="E118" s="125" t="s">
        <v>10</v>
      </c>
      <c r="F118" s="105" t="s">
        <v>29</v>
      </c>
      <c r="G118" s="60" t="s">
        <v>29</v>
      </c>
      <c r="H118" s="91" t="s">
        <v>47</v>
      </c>
      <c r="I118" s="92">
        <v>6</v>
      </c>
      <c r="J118" s="91" t="s">
        <v>0</v>
      </c>
      <c r="K118" s="106">
        <v>1650</v>
      </c>
      <c r="L118" s="93">
        <f t="shared" si="27"/>
        <v>9900</v>
      </c>
      <c r="M118" s="7">
        <f t="shared" si="14"/>
        <v>345796.7</v>
      </c>
      <c r="N118" s="108" t="s">
        <v>405</v>
      </c>
      <c r="O118" s="91">
        <f>3+3</f>
        <v>6</v>
      </c>
      <c r="P118" s="94">
        <f t="shared" si="12"/>
        <v>0</v>
      </c>
      <c r="Q118" s="91" t="s">
        <v>404</v>
      </c>
      <c r="R118" s="95"/>
    </row>
    <row r="119" spans="1:18" ht="101.5" x14ac:dyDescent="0.35">
      <c r="A119" s="97">
        <v>44306</v>
      </c>
      <c r="B119" s="73">
        <f t="shared" si="30"/>
        <v>4</v>
      </c>
      <c r="C119" s="75">
        <f t="shared" si="31"/>
        <v>2021</v>
      </c>
      <c r="D119" s="126" t="s">
        <v>381</v>
      </c>
      <c r="E119" s="120" t="s">
        <v>10</v>
      </c>
      <c r="F119" s="59" t="s">
        <v>28</v>
      </c>
      <c r="G119" s="59" t="s">
        <v>28</v>
      </c>
      <c r="H119" s="3" t="s">
        <v>47</v>
      </c>
      <c r="I119" s="17">
        <v>80</v>
      </c>
      <c r="J119" s="3" t="s">
        <v>30</v>
      </c>
      <c r="K119" s="12">
        <v>30</v>
      </c>
      <c r="L119" s="93">
        <f t="shared" si="27"/>
        <v>2400</v>
      </c>
      <c r="M119" s="7">
        <f t="shared" si="14"/>
        <v>348196.7</v>
      </c>
      <c r="N119" s="111" t="s">
        <v>542</v>
      </c>
      <c r="O119" s="91">
        <f>1+4+10+3+5+6+2+1+7+6+10</f>
        <v>55</v>
      </c>
      <c r="P119" s="94">
        <f t="shared" si="12"/>
        <v>25</v>
      </c>
      <c r="Q119" s="95" t="s">
        <v>543</v>
      </c>
      <c r="R119" s="95"/>
    </row>
    <row r="120" spans="1:18" x14ac:dyDescent="0.35">
      <c r="A120" s="97" t="s">
        <v>357</v>
      </c>
      <c r="B120" s="73">
        <v>4</v>
      </c>
      <c r="C120" s="75">
        <v>2021</v>
      </c>
      <c r="D120" s="126" t="s">
        <v>359</v>
      </c>
      <c r="E120" s="128" t="s">
        <v>345</v>
      </c>
      <c r="F120" s="105" t="s">
        <v>365</v>
      </c>
      <c r="G120" s="60" t="s">
        <v>365</v>
      </c>
      <c r="H120" s="55" t="s">
        <v>51</v>
      </c>
      <c r="I120" s="17">
        <v>2</v>
      </c>
      <c r="J120" s="21" t="s">
        <v>0</v>
      </c>
      <c r="K120" s="106">
        <v>1628</v>
      </c>
      <c r="L120" s="93">
        <f t="shared" si="27"/>
        <v>3256</v>
      </c>
      <c r="M120" s="7">
        <f t="shared" si="14"/>
        <v>351452.7</v>
      </c>
      <c r="N120" s="104" t="s">
        <v>425</v>
      </c>
      <c r="O120" s="91">
        <f>1+1</f>
        <v>2</v>
      </c>
      <c r="P120" s="94">
        <f t="shared" si="12"/>
        <v>0</v>
      </c>
      <c r="Q120" s="91" t="s">
        <v>426</v>
      </c>
      <c r="R120" s="95"/>
    </row>
    <row r="121" spans="1:18" ht="29" x14ac:dyDescent="0.35">
      <c r="A121" s="97">
        <v>44313</v>
      </c>
      <c r="B121" s="73">
        <f t="shared" ref="B121" si="32">MONTH(A121)</f>
        <v>4</v>
      </c>
      <c r="C121" s="75">
        <f t="shared" ref="C121" si="33">YEAR(A121)</f>
        <v>2021</v>
      </c>
      <c r="D121" s="126" t="s">
        <v>355</v>
      </c>
      <c r="E121" s="128" t="s">
        <v>354</v>
      </c>
      <c r="F121" s="45" t="s">
        <v>366</v>
      </c>
      <c r="G121" s="45" t="s">
        <v>366</v>
      </c>
      <c r="H121" s="55" t="s">
        <v>51</v>
      </c>
      <c r="I121" s="17">
        <v>10</v>
      </c>
      <c r="J121" s="21" t="s">
        <v>1</v>
      </c>
      <c r="K121" s="106">
        <v>405</v>
      </c>
      <c r="L121" s="93">
        <f t="shared" si="27"/>
        <v>4050</v>
      </c>
      <c r="M121" s="7">
        <f t="shared" si="14"/>
        <v>355502.7</v>
      </c>
      <c r="N121" s="108" t="s">
        <v>444</v>
      </c>
      <c r="O121" s="91">
        <f>5+4+1</f>
        <v>10</v>
      </c>
      <c r="P121" s="94">
        <f t="shared" si="12"/>
        <v>0</v>
      </c>
      <c r="Q121" s="95" t="s">
        <v>445</v>
      </c>
      <c r="R121" s="95"/>
    </row>
    <row r="122" spans="1:18" x14ac:dyDescent="0.35">
      <c r="A122" s="97">
        <v>44314</v>
      </c>
      <c r="B122" s="73">
        <f t="shared" ref="B122:B123" si="34">MONTH(A122)</f>
        <v>4</v>
      </c>
      <c r="C122" s="75">
        <f t="shared" ref="C122:C123" si="35">YEAR(A122)</f>
        <v>2021</v>
      </c>
      <c r="D122" s="126">
        <v>13101</v>
      </c>
      <c r="E122" s="128" t="s">
        <v>369</v>
      </c>
      <c r="F122" s="110" t="s">
        <v>370</v>
      </c>
      <c r="G122" s="110" t="s">
        <v>370</v>
      </c>
      <c r="H122" s="55" t="s">
        <v>51</v>
      </c>
      <c r="I122" s="17">
        <v>2</v>
      </c>
      <c r="J122" s="21" t="s">
        <v>18</v>
      </c>
      <c r="K122" s="106">
        <v>320</v>
      </c>
      <c r="L122" s="93">
        <f t="shared" si="27"/>
        <v>640</v>
      </c>
      <c r="M122" s="7">
        <f t="shared" si="14"/>
        <v>356142.7</v>
      </c>
      <c r="N122" s="108" t="s">
        <v>371</v>
      </c>
      <c r="O122" s="91">
        <v>1</v>
      </c>
      <c r="P122" s="94">
        <f t="shared" si="12"/>
        <v>1</v>
      </c>
      <c r="Q122" s="95" t="s">
        <v>372</v>
      </c>
      <c r="R122" s="95"/>
    </row>
    <row r="123" spans="1:18" ht="43.5" x14ac:dyDescent="0.35">
      <c r="A123" s="97">
        <v>44319</v>
      </c>
      <c r="B123" s="73">
        <f t="shared" si="34"/>
        <v>5</v>
      </c>
      <c r="C123" s="75">
        <f t="shared" si="35"/>
        <v>2021</v>
      </c>
      <c r="D123" s="126" t="s">
        <v>400</v>
      </c>
      <c r="E123" s="125" t="s">
        <v>10</v>
      </c>
      <c r="F123" s="105" t="s">
        <v>29</v>
      </c>
      <c r="G123" s="60" t="s">
        <v>29</v>
      </c>
      <c r="H123" s="91" t="s">
        <v>47</v>
      </c>
      <c r="I123" s="92">
        <v>20</v>
      </c>
      <c r="J123" s="91" t="s">
        <v>0</v>
      </c>
      <c r="K123" s="106">
        <v>1650</v>
      </c>
      <c r="L123" s="93">
        <f t="shared" si="27"/>
        <v>33000</v>
      </c>
      <c r="M123" s="7">
        <f t="shared" si="14"/>
        <v>389142.7</v>
      </c>
      <c r="N123" s="130" t="s">
        <v>446</v>
      </c>
      <c r="O123" s="91">
        <f>1+6+5+2+6</f>
        <v>20</v>
      </c>
      <c r="P123" s="94">
        <f t="shared" si="12"/>
        <v>0</v>
      </c>
      <c r="Q123" s="95" t="s">
        <v>447</v>
      </c>
      <c r="R123" s="95"/>
    </row>
    <row r="124" spans="1:18" ht="43.5" x14ac:dyDescent="0.35">
      <c r="A124" s="97">
        <v>44319</v>
      </c>
      <c r="B124" s="73">
        <f t="shared" ref="B124:B146" si="36">MONTH(A124)</f>
        <v>5</v>
      </c>
      <c r="C124" s="75">
        <f t="shared" ref="C124:C146" si="37">YEAR(A124)</f>
        <v>2021</v>
      </c>
      <c r="D124" s="126" t="s">
        <v>400</v>
      </c>
      <c r="E124" s="125" t="s">
        <v>10</v>
      </c>
      <c r="F124" s="105" t="s">
        <v>19</v>
      </c>
      <c r="G124" s="59" t="s">
        <v>19</v>
      </c>
      <c r="H124" s="55" t="s">
        <v>47</v>
      </c>
      <c r="I124" s="17">
        <v>12</v>
      </c>
      <c r="J124" s="21" t="s">
        <v>25</v>
      </c>
      <c r="K124" s="106">
        <v>80</v>
      </c>
      <c r="L124" s="93">
        <f t="shared" si="27"/>
        <v>960</v>
      </c>
      <c r="M124" s="7">
        <f t="shared" si="14"/>
        <v>390102.7</v>
      </c>
      <c r="N124" s="130" t="s">
        <v>437</v>
      </c>
      <c r="O124" s="91">
        <f>1+1+4+1+5</f>
        <v>12</v>
      </c>
      <c r="P124" s="94">
        <f t="shared" si="12"/>
        <v>0</v>
      </c>
      <c r="Q124" s="95" t="s">
        <v>427</v>
      </c>
      <c r="R124" s="95"/>
    </row>
    <row r="125" spans="1:18" ht="29" x14ac:dyDescent="0.35">
      <c r="A125" s="97">
        <v>44319</v>
      </c>
      <c r="B125" s="73">
        <f t="shared" si="36"/>
        <v>5</v>
      </c>
      <c r="C125" s="75">
        <f t="shared" si="37"/>
        <v>2021</v>
      </c>
      <c r="D125" s="126" t="s">
        <v>400</v>
      </c>
      <c r="E125" s="125" t="s">
        <v>10</v>
      </c>
      <c r="F125" s="105" t="s">
        <v>233</v>
      </c>
      <c r="G125" s="60" t="s">
        <v>233</v>
      </c>
      <c r="H125" s="55" t="s">
        <v>47</v>
      </c>
      <c r="I125" s="17">
        <v>2</v>
      </c>
      <c r="J125" s="107" t="s">
        <v>217</v>
      </c>
      <c r="K125" s="106">
        <v>290</v>
      </c>
      <c r="L125" s="93">
        <f t="shared" si="27"/>
        <v>580</v>
      </c>
      <c r="M125" s="7">
        <f t="shared" si="14"/>
        <v>390682.7</v>
      </c>
      <c r="N125" s="108" t="s">
        <v>433</v>
      </c>
      <c r="O125" s="91">
        <f>1+1</f>
        <v>2</v>
      </c>
      <c r="P125" s="94">
        <f t="shared" si="12"/>
        <v>0</v>
      </c>
      <c r="Q125" s="95" t="s">
        <v>434</v>
      </c>
      <c r="R125" s="95"/>
    </row>
    <row r="126" spans="1:18" x14ac:dyDescent="0.35">
      <c r="A126" s="97">
        <v>44319</v>
      </c>
      <c r="B126" s="73">
        <f t="shared" si="36"/>
        <v>5</v>
      </c>
      <c r="C126" s="75">
        <f t="shared" si="37"/>
        <v>2021</v>
      </c>
      <c r="D126" s="126"/>
      <c r="E126" s="129" t="s">
        <v>158</v>
      </c>
      <c r="F126" s="91" t="s">
        <v>376</v>
      </c>
      <c r="G126" s="91" t="s">
        <v>376</v>
      </c>
      <c r="H126" s="91" t="s">
        <v>51</v>
      </c>
      <c r="I126" s="92">
        <v>1</v>
      </c>
      <c r="J126" s="91" t="s">
        <v>138</v>
      </c>
      <c r="K126" s="106">
        <v>28.8</v>
      </c>
      <c r="L126" s="93">
        <f t="shared" si="27"/>
        <v>28.8</v>
      </c>
      <c r="M126" s="7">
        <f t="shared" si="14"/>
        <v>390711.5</v>
      </c>
      <c r="N126" s="108" t="s">
        <v>390</v>
      </c>
      <c r="O126" s="91">
        <v>1</v>
      </c>
      <c r="P126" s="94">
        <f t="shared" si="12"/>
        <v>0</v>
      </c>
      <c r="Q126" s="95" t="s">
        <v>322</v>
      </c>
      <c r="R126" s="95"/>
    </row>
    <row r="127" spans="1:18" x14ac:dyDescent="0.35">
      <c r="A127" s="97">
        <v>44319</v>
      </c>
      <c r="B127" s="73">
        <f t="shared" si="36"/>
        <v>5</v>
      </c>
      <c r="C127" s="75">
        <f t="shared" si="37"/>
        <v>2021</v>
      </c>
      <c r="D127" s="126"/>
      <c r="E127" s="129" t="s">
        <v>158</v>
      </c>
      <c r="F127" s="112" t="s">
        <v>384</v>
      </c>
      <c r="G127" s="112" t="s">
        <v>384</v>
      </c>
      <c r="H127" s="114" t="s">
        <v>51</v>
      </c>
      <c r="I127" s="92">
        <v>1</v>
      </c>
      <c r="J127" s="113" t="s">
        <v>125</v>
      </c>
      <c r="K127" s="106">
        <v>38</v>
      </c>
      <c r="L127" s="93">
        <f t="shared" si="27"/>
        <v>38</v>
      </c>
      <c r="M127" s="7">
        <f t="shared" si="14"/>
        <v>390749.5</v>
      </c>
      <c r="N127" s="108" t="s">
        <v>222</v>
      </c>
      <c r="O127" s="91">
        <v>1</v>
      </c>
      <c r="P127" s="94">
        <f t="shared" si="12"/>
        <v>0</v>
      </c>
      <c r="Q127" s="111" t="s">
        <v>385</v>
      </c>
      <c r="R127" s="95"/>
    </row>
    <row r="128" spans="1:18" ht="29" x14ac:dyDescent="0.35">
      <c r="A128" s="97">
        <v>44326</v>
      </c>
      <c r="B128" s="73">
        <f t="shared" si="36"/>
        <v>5</v>
      </c>
      <c r="C128" s="75">
        <f t="shared" si="37"/>
        <v>2021</v>
      </c>
      <c r="D128" s="126" t="s">
        <v>401</v>
      </c>
      <c r="E128" s="119" t="s">
        <v>10</v>
      </c>
      <c r="F128" s="45" t="s">
        <v>387</v>
      </c>
      <c r="G128" s="47" t="s">
        <v>386</v>
      </c>
      <c r="H128" s="91" t="s">
        <v>47</v>
      </c>
      <c r="I128" s="92">
        <v>16</v>
      </c>
      <c r="J128" s="91" t="s">
        <v>1</v>
      </c>
      <c r="K128" s="106">
        <v>284.89999999999998</v>
      </c>
      <c r="L128" s="93">
        <f t="shared" si="27"/>
        <v>4558.3999999999996</v>
      </c>
      <c r="M128" s="7">
        <f t="shared" si="14"/>
        <v>395307.9</v>
      </c>
      <c r="N128" s="130" t="s">
        <v>497</v>
      </c>
      <c r="O128" s="91">
        <f>4+6+6</f>
        <v>16</v>
      </c>
      <c r="P128" s="94">
        <f t="shared" si="12"/>
        <v>0</v>
      </c>
      <c r="Q128" s="95" t="s">
        <v>498</v>
      </c>
      <c r="R128" s="95"/>
    </row>
    <row r="129" spans="1:18" ht="29" x14ac:dyDescent="0.35">
      <c r="A129" s="97">
        <v>44326</v>
      </c>
      <c r="B129" s="73">
        <f t="shared" si="36"/>
        <v>5</v>
      </c>
      <c r="C129" s="75">
        <f t="shared" si="37"/>
        <v>2021</v>
      </c>
      <c r="D129" s="126" t="s">
        <v>401</v>
      </c>
      <c r="E129" s="119" t="s">
        <v>10</v>
      </c>
      <c r="F129" s="45" t="s">
        <v>388</v>
      </c>
      <c r="G129" s="47" t="s">
        <v>389</v>
      </c>
      <c r="H129" s="91" t="s">
        <v>47</v>
      </c>
      <c r="I129" s="92">
        <v>16</v>
      </c>
      <c r="J129" s="113" t="s">
        <v>1</v>
      </c>
      <c r="K129" s="106">
        <v>462</v>
      </c>
      <c r="L129" s="93">
        <f t="shared" si="27"/>
        <v>7392</v>
      </c>
      <c r="M129" s="7">
        <f t="shared" si="14"/>
        <v>402699.9</v>
      </c>
      <c r="N129" s="108" t="s">
        <v>438</v>
      </c>
      <c r="O129" s="91">
        <f>3+4+4</f>
        <v>11</v>
      </c>
      <c r="P129" s="94">
        <f t="shared" si="12"/>
        <v>5</v>
      </c>
      <c r="Q129" s="95" t="s">
        <v>439</v>
      </c>
      <c r="R129" s="95"/>
    </row>
    <row r="130" spans="1:18" ht="43.5" x14ac:dyDescent="0.35">
      <c r="A130" s="97">
        <v>44334</v>
      </c>
      <c r="B130" s="73">
        <f t="shared" si="36"/>
        <v>5</v>
      </c>
      <c r="C130" s="75">
        <f t="shared" si="37"/>
        <v>2021</v>
      </c>
      <c r="D130" s="126" t="s">
        <v>402</v>
      </c>
      <c r="E130" s="120" t="s">
        <v>10</v>
      </c>
      <c r="F130" s="59" t="s">
        <v>64</v>
      </c>
      <c r="G130" s="59" t="s">
        <v>64</v>
      </c>
      <c r="H130" s="3" t="s">
        <v>47</v>
      </c>
      <c r="I130" s="17">
        <v>10</v>
      </c>
      <c r="J130" s="32" t="s">
        <v>0</v>
      </c>
      <c r="K130" s="106">
        <v>1727</v>
      </c>
      <c r="L130" s="93">
        <f t="shared" si="27"/>
        <v>17270</v>
      </c>
      <c r="M130" s="7">
        <f t="shared" si="14"/>
        <v>419969.9</v>
      </c>
      <c r="N130" s="130" t="s">
        <v>443</v>
      </c>
      <c r="O130" s="91">
        <f>1+3+4+1+1</f>
        <v>10</v>
      </c>
      <c r="P130" s="94">
        <f t="shared" si="12"/>
        <v>0</v>
      </c>
      <c r="Q130" s="95" t="s">
        <v>442</v>
      </c>
      <c r="R130" s="95"/>
    </row>
    <row r="131" spans="1:18" ht="29" x14ac:dyDescent="0.35">
      <c r="A131" s="97">
        <v>44334</v>
      </c>
      <c r="B131" s="73">
        <f t="shared" si="36"/>
        <v>5</v>
      </c>
      <c r="C131" s="75">
        <f t="shared" si="37"/>
        <v>2021</v>
      </c>
      <c r="D131" s="126" t="s">
        <v>402</v>
      </c>
      <c r="E131" s="120" t="s">
        <v>10</v>
      </c>
      <c r="F131" s="59" t="s">
        <v>31</v>
      </c>
      <c r="G131" s="59" t="s">
        <v>31</v>
      </c>
      <c r="H131" s="3" t="s">
        <v>47</v>
      </c>
      <c r="I131" s="17">
        <v>4</v>
      </c>
      <c r="J131" s="32" t="s">
        <v>0</v>
      </c>
      <c r="K131" s="106">
        <v>1650</v>
      </c>
      <c r="L131" s="93">
        <f t="shared" si="27"/>
        <v>6600</v>
      </c>
      <c r="M131" s="7">
        <f t="shared" si="14"/>
        <v>426569.9</v>
      </c>
      <c r="N131" s="130" t="s">
        <v>494</v>
      </c>
      <c r="O131" s="91">
        <f>1+1+2</f>
        <v>4</v>
      </c>
      <c r="P131" s="94">
        <f t="shared" si="12"/>
        <v>0</v>
      </c>
      <c r="Q131" s="95" t="s">
        <v>496</v>
      </c>
      <c r="R131" s="95" t="s">
        <v>493</v>
      </c>
    </row>
    <row r="132" spans="1:18" ht="29" x14ac:dyDescent="0.35">
      <c r="A132" s="97">
        <v>44334</v>
      </c>
      <c r="B132" s="73">
        <f t="shared" si="36"/>
        <v>5</v>
      </c>
      <c r="C132" s="75">
        <f t="shared" si="37"/>
        <v>2021</v>
      </c>
      <c r="D132" s="126" t="s">
        <v>403</v>
      </c>
      <c r="E132" s="125" t="s">
        <v>345</v>
      </c>
      <c r="F132" s="105" t="s">
        <v>363</v>
      </c>
      <c r="G132" s="59" t="s">
        <v>363</v>
      </c>
      <c r="H132" s="3" t="s">
        <v>51</v>
      </c>
      <c r="I132" s="92">
        <v>3</v>
      </c>
      <c r="J132" s="32" t="s">
        <v>0</v>
      </c>
      <c r="K132" s="106">
        <v>1683</v>
      </c>
      <c r="L132" s="93">
        <f t="shared" si="27"/>
        <v>5049</v>
      </c>
      <c r="M132" s="7">
        <f t="shared" si="14"/>
        <v>431618.9</v>
      </c>
      <c r="N132" s="108" t="s">
        <v>506</v>
      </c>
      <c r="O132" s="91">
        <f>1+1+1</f>
        <v>3</v>
      </c>
      <c r="P132" s="94">
        <f t="shared" si="12"/>
        <v>0</v>
      </c>
      <c r="Q132" s="95" t="s">
        <v>507</v>
      </c>
      <c r="R132" s="95"/>
    </row>
    <row r="133" spans="1:18" ht="43.5" x14ac:dyDescent="0.35">
      <c r="A133" s="97">
        <v>44468</v>
      </c>
      <c r="B133" s="73">
        <f t="shared" si="36"/>
        <v>9</v>
      </c>
      <c r="C133" s="75">
        <f t="shared" si="37"/>
        <v>2021</v>
      </c>
      <c r="D133" s="126"/>
      <c r="E133" s="119" t="s">
        <v>10</v>
      </c>
      <c r="F133" s="110" t="s">
        <v>29</v>
      </c>
      <c r="G133" s="47" t="s">
        <v>29</v>
      </c>
      <c r="H133" s="114" t="s">
        <v>47</v>
      </c>
      <c r="I133" s="92">
        <v>12</v>
      </c>
      <c r="J133" s="113" t="s">
        <v>0</v>
      </c>
      <c r="K133" s="106">
        <v>1617</v>
      </c>
      <c r="L133" s="93">
        <f>SUM(I133*K133)</f>
        <v>19404</v>
      </c>
      <c r="M133" s="7">
        <f t="shared" si="14"/>
        <v>451022.9</v>
      </c>
      <c r="N133" s="130" t="s">
        <v>525</v>
      </c>
      <c r="O133" s="91">
        <f>2+2+3+2+3</f>
        <v>12</v>
      </c>
      <c r="P133" s="94">
        <f t="shared" si="12"/>
        <v>0</v>
      </c>
      <c r="Q133" s="137" t="s">
        <v>526</v>
      </c>
      <c r="R133" s="95" t="s">
        <v>495</v>
      </c>
    </row>
    <row r="134" spans="1:18" ht="43.5" x14ac:dyDescent="0.35">
      <c r="A134" s="97">
        <v>44468</v>
      </c>
      <c r="B134" s="73">
        <f t="shared" si="36"/>
        <v>9</v>
      </c>
      <c r="C134" s="75">
        <f t="shared" si="37"/>
        <v>2021</v>
      </c>
      <c r="D134" s="126"/>
      <c r="E134" s="119" t="s">
        <v>10</v>
      </c>
      <c r="F134" s="110" t="s">
        <v>387</v>
      </c>
      <c r="G134" s="47" t="s">
        <v>386</v>
      </c>
      <c r="H134" s="114" t="s">
        <v>47</v>
      </c>
      <c r="I134" s="92">
        <v>32</v>
      </c>
      <c r="J134" s="113" t="s">
        <v>1</v>
      </c>
      <c r="K134" s="106">
        <v>281.2</v>
      </c>
      <c r="L134" s="93">
        <f t="shared" ref="L134:L160" si="38">SUM(I134*K134)</f>
        <v>8998.4</v>
      </c>
      <c r="M134" s="7">
        <f t="shared" si="14"/>
        <v>460021.30000000005</v>
      </c>
      <c r="N134" s="130" t="s">
        <v>532</v>
      </c>
      <c r="O134" s="91">
        <f>6+8+14+4</f>
        <v>32</v>
      </c>
      <c r="P134" s="94">
        <f t="shared" si="12"/>
        <v>0</v>
      </c>
      <c r="Q134" s="95" t="s">
        <v>533</v>
      </c>
      <c r="R134" s="95"/>
    </row>
    <row r="135" spans="1:18" ht="29" x14ac:dyDescent="0.35">
      <c r="A135" s="97">
        <v>44468</v>
      </c>
      <c r="B135" s="73">
        <f t="shared" si="36"/>
        <v>9</v>
      </c>
      <c r="C135" s="75">
        <f t="shared" si="37"/>
        <v>2021</v>
      </c>
      <c r="D135" s="126"/>
      <c r="E135" s="119" t="s">
        <v>10</v>
      </c>
      <c r="F135" s="110" t="s">
        <v>233</v>
      </c>
      <c r="G135" s="47" t="s">
        <v>233</v>
      </c>
      <c r="H135" s="114" t="s">
        <v>47</v>
      </c>
      <c r="I135" s="92">
        <v>2</v>
      </c>
      <c r="J135" s="113" t="s">
        <v>217</v>
      </c>
      <c r="K135" s="106">
        <v>290</v>
      </c>
      <c r="L135" s="93">
        <f t="shared" si="38"/>
        <v>580</v>
      </c>
      <c r="M135" s="7">
        <f t="shared" si="14"/>
        <v>460601.30000000005</v>
      </c>
      <c r="N135" s="108" t="s">
        <v>469</v>
      </c>
      <c r="O135" s="91">
        <v>1</v>
      </c>
      <c r="P135" s="94">
        <f t="shared" si="12"/>
        <v>1</v>
      </c>
      <c r="Q135" s="95" t="s">
        <v>471</v>
      </c>
      <c r="R135" s="95"/>
    </row>
    <row r="136" spans="1:18" ht="58" x14ac:dyDescent="0.35">
      <c r="A136" s="97">
        <v>44468</v>
      </c>
      <c r="B136" s="73">
        <f t="shared" si="36"/>
        <v>9</v>
      </c>
      <c r="C136" s="75">
        <f t="shared" si="37"/>
        <v>2021</v>
      </c>
      <c r="D136" s="126"/>
      <c r="E136" s="119" t="s">
        <v>10</v>
      </c>
      <c r="F136" s="110" t="s">
        <v>423</v>
      </c>
      <c r="G136" s="47" t="s">
        <v>423</v>
      </c>
      <c r="H136" s="114" t="s">
        <v>51</v>
      </c>
      <c r="I136" s="92">
        <v>12</v>
      </c>
      <c r="J136" s="113" t="s">
        <v>25</v>
      </c>
      <c r="K136" s="106">
        <v>60</v>
      </c>
      <c r="L136" s="93">
        <f t="shared" si="38"/>
        <v>720</v>
      </c>
      <c r="M136" s="7">
        <f t="shared" si="14"/>
        <v>461321.30000000005</v>
      </c>
      <c r="N136" s="130" t="s">
        <v>500</v>
      </c>
      <c r="O136" s="91">
        <f>3+2+2+1+1+2+1</f>
        <v>12</v>
      </c>
      <c r="P136" s="94">
        <f t="shared" si="12"/>
        <v>0</v>
      </c>
      <c r="Q136" s="95" t="s">
        <v>499</v>
      </c>
      <c r="R136" s="95"/>
    </row>
    <row r="137" spans="1:18" ht="29" x14ac:dyDescent="0.35">
      <c r="A137" s="97">
        <v>44468</v>
      </c>
      <c r="B137" s="73">
        <f t="shared" si="36"/>
        <v>9</v>
      </c>
      <c r="C137" s="75">
        <f t="shared" si="37"/>
        <v>2021</v>
      </c>
      <c r="D137" s="126"/>
      <c r="E137" s="120" t="s">
        <v>10</v>
      </c>
      <c r="F137" s="59" t="s">
        <v>64</v>
      </c>
      <c r="G137" s="59" t="s">
        <v>64</v>
      </c>
      <c r="H137" s="3" t="s">
        <v>47</v>
      </c>
      <c r="I137" s="17">
        <v>10</v>
      </c>
      <c r="J137" s="32" t="s">
        <v>0</v>
      </c>
      <c r="K137" s="106">
        <v>1650</v>
      </c>
      <c r="L137" s="93">
        <f t="shared" si="38"/>
        <v>16500</v>
      </c>
      <c r="M137" s="7">
        <f t="shared" si="14"/>
        <v>477821.30000000005</v>
      </c>
      <c r="N137" s="130" t="s">
        <v>523</v>
      </c>
      <c r="O137" s="91">
        <f>2+2+3</f>
        <v>7</v>
      </c>
      <c r="P137" s="94">
        <f t="shared" si="12"/>
        <v>3</v>
      </c>
      <c r="Q137" s="95" t="s">
        <v>524</v>
      </c>
      <c r="R137" s="95"/>
    </row>
    <row r="138" spans="1:18" ht="29" x14ac:dyDescent="0.35">
      <c r="A138" s="97">
        <v>44473</v>
      </c>
      <c r="B138" s="73">
        <f t="shared" si="36"/>
        <v>10</v>
      </c>
      <c r="C138" s="75">
        <f t="shared" si="37"/>
        <v>2021</v>
      </c>
      <c r="D138" s="126"/>
      <c r="E138" s="119" t="s">
        <v>354</v>
      </c>
      <c r="F138" s="110" t="s">
        <v>366</v>
      </c>
      <c r="G138" s="47" t="s">
        <v>366</v>
      </c>
      <c r="H138" s="114" t="s">
        <v>51</v>
      </c>
      <c r="I138" s="92">
        <v>10</v>
      </c>
      <c r="J138" s="113" t="s">
        <v>1</v>
      </c>
      <c r="K138" s="106">
        <v>432</v>
      </c>
      <c r="L138" s="93">
        <f t="shared" si="38"/>
        <v>4320</v>
      </c>
      <c r="M138" s="7">
        <f t="shared" si="14"/>
        <v>482141.30000000005</v>
      </c>
      <c r="N138" s="108" t="s">
        <v>469</v>
      </c>
      <c r="O138" s="91">
        <v>2</v>
      </c>
      <c r="P138" s="94">
        <f t="shared" ref="P138:P160" si="39">I138-O138</f>
        <v>8</v>
      </c>
      <c r="Q138" s="95" t="s">
        <v>470</v>
      </c>
      <c r="R138" s="95"/>
    </row>
    <row r="139" spans="1:18" ht="29" x14ac:dyDescent="0.35">
      <c r="A139" s="97">
        <v>44476</v>
      </c>
      <c r="B139" s="73">
        <f t="shared" si="36"/>
        <v>10</v>
      </c>
      <c r="C139" s="75">
        <f t="shared" si="37"/>
        <v>2021</v>
      </c>
      <c r="D139" s="126" t="s">
        <v>459</v>
      </c>
      <c r="E139" s="119" t="s">
        <v>10</v>
      </c>
      <c r="F139" s="110" t="s">
        <v>387</v>
      </c>
      <c r="G139" s="47" t="s">
        <v>386</v>
      </c>
      <c r="H139" s="114" t="s">
        <v>47</v>
      </c>
      <c r="I139" s="92">
        <v>25</v>
      </c>
      <c r="J139" s="113" t="s">
        <v>1</v>
      </c>
      <c r="K139" s="106">
        <v>281.2</v>
      </c>
      <c r="L139" s="93">
        <f t="shared" si="38"/>
        <v>7030</v>
      </c>
      <c r="M139" s="7">
        <f t="shared" si="14"/>
        <v>489171.30000000005</v>
      </c>
      <c r="N139" s="108" t="s">
        <v>539</v>
      </c>
      <c r="O139" s="91">
        <f>2+4</f>
        <v>6</v>
      </c>
      <c r="P139" s="94">
        <f t="shared" si="39"/>
        <v>19</v>
      </c>
      <c r="Q139" s="95" t="s">
        <v>538</v>
      </c>
      <c r="R139" s="95"/>
    </row>
    <row r="140" spans="1:18" ht="29" x14ac:dyDescent="0.35">
      <c r="A140" s="97">
        <v>44477</v>
      </c>
      <c r="B140" s="73">
        <f t="shared" si="36"/>
        <v>10</v>
      </c>
      <c r="C140" s="75">
        <f t="shared" si="37"/>
        <v>2021</v>
      </c>
      <c r="D140" s="126" t="s">
        <v>463</v>
      </c>
      <c r="E140" s="119" t="s">
        <v>450</v>
      </c>
      <c r="F140" s="110" t="s">
        <v>452</v>
      </c>
      <c r="G140" s="110" t="s">
        <v>452</v>
      </c>
      <c r="H140" s="114" t="s">
        <v>51</v>
      </c>
      <c r="I140" s="92">
        <v>1</v>
      </c>
      <c r="J140" s="113" t="s">
        <v>18</v>
      </c>
      <c r="K140" s="106">
        <v>800</v>
      </c>
      <c r="L140" s="93">
        <f t="shared" si="38"/>
        <v>800</v>
      </c>
      <c r="M140" s="7">
        <f t="shared" si="14"/>
        <v>489971.30000000005</v>
      </c>
      <c r="N140" s="108" t="s">
        <v>451</v>
      </c>
      <c r="O140" s="91">
        <v>1</v>
      </c>
      <c r="P140" s="94">
        <f t="shared" si="39"/>
        <v>0</v>
      </c>
      <c r="Q140" s="95" t="s">
        <v>464</v>
      </c>
      <c r="R140" s="95"/>
    </row>
    <row r="141" spans="1:18" ht="29" x14ac:dyDescent="0.35">
      <c r="A141" s="97">
        <v>44481</v>
      </c>
      <c r="B141" s="73">
        <f t="shared" si="36"/>
        <v>10</v>
      </c>
      <c r="C141" s="75">
        <f t="shared" si="37"/>
        <v>2021</v>
      </c>
      <c r="D141" s="126" t="s">
        <v>460</v>
      </c>
      <c r="E141" s="119" t="s">
        <v>10</v>
      </c>
      <c r="F141" s="110" t="s">
        <v>462</v>
      </c>
      <c r="G141" s="110" t="s">
        <v>462</v>
      </c>
      <c r="H141" s="114" t="s">
        <v>51</v>
      </c>
      <c r="I141" s="92">
        <v>4</v>
      </c>
      <c r="J141" s="113" t="s">
        <v>0</v>
      </c>
      <c r="K141" s="106">
        <v>1676.25</v>
      </c>
      <c r="L141" s="93">
        <f t="shared" si="38"/>
        <v>6705</v>
      </c>
      <c r="M141" s="7">
        <f t="shared" si="14"/>
        <v>496676.30000000005</v>
      </c>
      <c r="N141" s="108" t="s">
        <v>465</v>
      </c>
      <c r="O141" s="91">
        <v>4</v>
      </c>
      <c r="P141" s="94">
        <f t="shared" si="39"/>
        <v>0</v>
      </c>
      <c r="Q141" s="95" t="s">
        <v>466</v>
      </c>
      <c r="R141" s="95"/>
    </row>
    <row r="142" spans="1:18" ht="29" x14ac:dyDescent="0.35">
      <c r="A142" s="97">
        <v>44481</v>
      </c>
      <c r="B142" s="73">
        <f t="shared" si="36"/>
        <v>10</v>
      </c>
      <c r="C142" s="75">
        <f t="shared" si="37"/>
        <v>2021</v>
      </c>
      <c r="D142" s="126" t="s">
        <v>460</v>
      </c>
      <c r="E142" s="119" t="s">
        <v>10</v>
      </c>
      <c r="F142" s="110" t="s">
        <v>387</v>
      </c>
      <c r="G142" s="47" t="s">
        <v>386</v>
      </c>
      <c r="H142" s="114" t="s">
        <v>51</v>
      </c>
      <c r="I142" s="92">
        <v>10</v>
      </c>
      <c r="J142" s="113" t="s">
        <v>1</v>
      </c>
      <c r="K142" s="106">
        <v>307.10000000000002</v>
      </c>
      <c r="L142" s="93">
        <f t="shared" si="38"/>
        <v>3071</v>
      </c>
      <c r="M142" s="7">
        <f t="shared" si="14"/>
        <v>499747.30000000005</v>
      </c>
      <c r="N142" s="108" t="s">
        <v>465</v>
      </c>
      <c r="O142" s="91">
        <v>10</v>
      </c>
      <c r="P142" s="94">
        <f t="shared" si="39"/>
        <v>0</v>
      </c>
      <c r="Q142" s="95" t="s">
        <v>467</v>
      </c>
      <c r="R142" s="95"/>
    </row>
    <row r="143" spans="1:18" x14ac:dyDescent="0.35">
      <c r="A143" s="97">
        <v>44481</v>
      </c>
      <c r="B143" s="73">
        <f t="shared" si="36"/>
        <v>10</v>
      </c>
      <c r="C143" s="75">
        <f t="shared" si="37"/>
        <v>2021</v>
      </c>
      <c r="D143" s="126" t="s">
        <v>460</v>
      </c>
      <c r="E143" s="119" t="s">
        <v>10</v>
      </c>
      <c r="F143" s="110" t="s">
        <v>423</v>
      </c>
      <c r="G143" s="47" t="s">
        <v>423</v>
      </c>
      <c r="H143" s="114" t="s">
        <v>51</v>
      </c>
      <c r="I143" s="92">
        <v>4</v>
      </c>
      <c r="J143" s="113" t="s">
        <v>25</v>
      </c>
      <c r="K143" s="106">
        <v>60</v>
      </c>
      <c r="L143" s="93">
        <f t="shared" si="38"/>
        <v>240</v>
      </c>
      <c r="M143" s="7">
        <f t="shared" si="14"/>
        <v>499987.30000000005</v>
      </c>
      <c r="N143" s="108" t="s">
        <v>483</v>
      </c>
      <c r="O143" s="91">
        <v>4</v>
      </c>
      <c r="P143" s="94">
        <f t="shared" si="39"/>
        <v>0</v>
      </c>
      <c r="Q143" s="95" t="s">
        <v>466</v>
      </c>
      <c r="R143" s="95"/>
    </row>
    <row r="144" spans="1:18" ht="29" x14ac:dyDescent="0.35">
      <c r="A144" s="97">
        <v>44481</v>
      </c>
      <c r="B144" s="73">
        <f t="shared" si="36"/>
        <v>10</v>
      </c>
      <c r="C144" s="75">
        <f t="shared" si="37"/>
        <v>2021</v>
      </c>
      <c r="D144" s="126" t="s">
        <v>460</v>
      </c>
      <c r="E144" s="119" t="s">
        <v>10</v>
      </c>
      <c r="F144" s="110" t="s">
        <v>461</v>
      </c>
      <c r="G144" s="110" t="s">
        <v>461</v>
      </c>
      <c r="H144" s="114" t="s">
        <v>51</v>
      </c>
      <c r="I144" s="92">
        <v>4</v>
      </c>
      <c r="J144" s="113" t="s">
        <v>1</v>
      </c>
      <c r="K144" s="106">
        <v>288</v>
      </c>
      <c r="L144" s="93">
        <f t="shared" si="38"/>
        <v>1152</v>
      </c>
      <c r="M144" s="7">
        <f t="shared" si="14"/>
        <v>501139.30000000005</v>
      </c>
      <c r="N144" s="108" t="s">
        <v>465</v>
      </c>
      <c r="O144" s="91">
        <v>4</v>
      </c>
      <c r="P144" s="94">
        <f t="shared" si="39"/>
        <v>0</v>
      </c>
      <c r="Q144" s="95" t="s">
        <v>466</v>
      </c>
      <c r="R144" s="95"/>
    </row>
    <row r="145" spans="1:18" ht="29" x14ac:dyDescent="0.35">
      <c r="A145" s="97">
        <v>44481</v>
      </c>
      <c r="B145" s="73">
        <f t="shared" si="36"/>
        <v>10</v>
      </c>
      <c r="C145" s="75">
        <f t="shared" si="37"/>
        <v>2021</v>
      </c>
      <c r="D145" s="126" t="s">
        <v>460</v>
      </c>
      <c r="E145" s="119" t="s">
        <v>10</v>
      </c>
      <c r="F145" s="110" t="s">
        <v>28</v>
      </c>
      <c r="G145" s="110" t="s">
        <v>28</v>
      </c>
      <c r="H145" s="114" t="s">
        <v>51</v>
      </c>
      <c r="I145" s="92">
        <v>2</v>
      </c>
      <c r="J145" s="113" t="s">
        <v>217</v>
      </c>
      <c r="K145" s="106">
        <v>30</v>
      </c>
      <c r="L145" s="93">
        <f t="shared" si="38"/>
        <v>60</v>
      </c>
      <c r="M145" s="7">
        <f t="shared" si="14"/>
        <v>501199.30000000005</v>
      </c>
      <c r="N145" s="108" t="s">
        <v>465</v>
      </c>
      <c r="O145" s="91">
        <v>2</v>
      </c>
      <c r="P145" s="94">
        <f t="shared" si="39"/>
        <v>0</v>
      </c>
      <c r="Q145" s="95" t="s">
        <v>468</v>
      </c>
      <c r="R145" s="95"/>
    </row>
    <row r="146" spans="1:18" x14ac:dyDescent="0.35">
      <c r="A146" s="97">
        <v>44483</v>
      </c>
      <c r="B146" s="73">
        <f t="shared" si="36"/>
        <v>10</v>
      </c>
      <c r="C146" s="75">
        <f t="shared" si="37"/>
        <v>2021</v>
      </c>
      <c r="D146" s="126"/>
      <c r="E146" s="119" t="s">
        <v>455</v>
      </c>
      <c r="F146" s="110" t="s">
        <v>457</v>
      </c>
      <c r="G146" s="110" t="s">
        <v>457</v>
      </c>
      <c r="H146" s="114" t="s">
        <v>51</v>
      </c>
      <c r="I146" s="92">
        <v>4</v>
      </c>
      <c r="J146" s="113" t="s">
        <v>0</v>
      </c>
      <c r="K146" s="106">
        <v>1760</v>
      </c>
      <c r="L146" s="93">
        <f t="shared" si="38"/>
        <v>7040</v>
      </c>
      <c r="M146" s="7">
        <f t="shared" si="14"/>
        <v>508239.30000000005</v>
      </c>
      <c r="N146" s="108" t="s">
        <v>530</v>
      </c>
      <c r="O146" s="91">
        <v>3</v>
      </c>
      <c r="P146" s="94">
        <f t="shared" si="39"/>
        <v>1</v>
      </c>
      <c r="Q146" s="95" t="s">
        <v>531</v>
      </c>
      <c r="R146" s="95"/>
    </row>
    <row r="147" spans="1:18" ht="29" x14ac:dyDescent="0.35">
      <c r="A147" s="97">
        <v>44483</v>
      </c>
      <c r="B147" s="73">
        <f t="shared" ref="B147:B148" si="40">MONTH(A147)</f>
        <v>10</v>
      </c>
      <c r="C147" s="75">
        <f t="shared" ref="C147:C148" si="41">YEAR(A147)</f>
        <v>2021</v>
      </c>
      <c r="D147" s="126"/>
      <c r="E147" s="119" t="s">
        <v>455</v>
      </c>
      <c r="F147" s="110" t="s">
        <v>456</v>
      </c>
      <c r="G147" s="110" t="s">
        <v>456</v>
      </c>
      <c r="H147" s="114" t="s">
        <v>51</v>
      </c>
      <c r="I147" s="92">
        <v>10</v>
      </c>
      <c r="J147" s="113" t="s">
        <v>1</v>
      </c>
      <c r="K147" s="106">
        <v>468</v>
      </c>
      <c r="L147" s="93">
        <f t="shared" si="38"/>
        <v>4680</v>
      </c>
      <c r="M147" s="7">
        <f t="shared" si="14"/>
        <v>512919.30000000005</v>
      </c>
      <c r="N147" s="108" t="s">
        <v>472</v>
      </c>
      <c r="O147" s="91">
        <v>10</v>
      </c>
      <c r="P147" s="94">
        <f t="shared" si="39"/>
        <v>0</v>
      </c>
      <c r="Q147" s="95" t="s">
        <v>474</v>
      </c>
      <c r="R147" s="95"/>
    </row>
    <row r="148" spans="1:18" x14ac:dyDescent="0.35">
      <c r="A148" s="97">
        <v>44483</v>
      </c>
      <c r="B148" s="73">
        <f t="shared" si="40"/>
        <v>10</v>
      </c>
      <c r="C148" s="75">
        <f t="shared" si="41"/>
        <v>2021</v>
      </c>
      <c r="D148" s="126"/>
      <c r="E148" s="119" t="s">
        <v>455</v>
      </c>
      <c r="F148" s="105" t="s">
        <v>458</v>
      </c>
      <c r="G148" s="105" t="s">
        <v>458</v>
      </c>
      <c r="H148" s="114" t="s">
        <v>51</v>
      </c>
      <c r="I148" s="92">
        <v>12</v>
      </c>
      <c r="J148" s="113" t="s">
        <v>125</v>
      </c>
      <c r="K148" s="106">
        <v>40</v>
      </c>
      <c r="L148" s="93">
        <f t="shared" si="38"/>
        <v>480</v>
      </c>
      <c r="M148" s="7">
        <f t="shared" si="14"/>
        <v>513399.30000000005</v>
      </c>
      <c r="N148" s="108" t="s">
        <v>472</v>
      </c>
      <c r="O148" s="91">
        <v>6</v>
      </c>
      <c r="P148" s="94">
        <f t="shared" si="39"/>
        <v>6</v>
      </c>
      <c r="Q148" s="95" t="s">
        <v>473</v>
      </c>
      <c r="R148" s="95"/>
    </row>
    <row r="149" spans="1:18" ht="43.5" x14ac:dyDescent="0.35">
      <c r="A149" s="97">
        <v>44484</v>
      </c>
      <c r="B149" s="73">
        <f t="shared" ref="B149:B158" si="42">MONTH(A149)</f>
        <v>10</v>
      </c>
      <c r="C149" s="75">
        <f t="shared" ref="C149:C158" si="43">YEAR(A149)</f>
        <v>2021</v>
      </c>
      <c r="D149" s="126" t="s">
        <v>475</v>
      </c>
      <c r="E149" s="119" t="s">
        <v>10</v>
      </c>
      <c r="F149" s="105" t="s">
        <v>477</v>
      </c>
      <c r="G149" s="105" t="s">
        <v>477</v>
      </c>
      <c r="H149" s="114" t="s">
        <v>51</v>
      </c>
      <c r="I149" s="92">
        <v>3</v>
      </c>
      <c r="J149" s="113" t="s">
        <v>18</v>
      </c>
      <c r="K149" s="106">
        <v>500</v>
      </c>
      <c r="L149" s="93">
        <f t="shared" si="38"/>
        <v>1500</v>
      </c>
      <c r="M149" s="7">
        <f t="shared" si="14"/>
        <v>514899.30000000005</v>
      </c>
      <c r="N149" s="108" t="s">
        <v>478</v>
      </c>
      <c r="O149" s="91">
        <v>3</v>
      </c>
      <c r="P149" s="94">
        <f t="shared" si="39"/>
        <v>0</v>
      </c>
      <c r="Q149" s="95" t="s">
        <v>479</v>
      </c>
      <c r="R149" s="95"/>
    </row>
    <row r="150" spans="1:18" ht="29" x14ac:dyDescent="0.35">
      <c r="A150" s="97">
        <v>44484</v>
      </c>
      <c r="B150" s="73">
        <f>MONTH(A150)</f>
        <v>10</v>
      </c>
      <c r="C150" s="75">
        <f t="shared" si="43"/>
        <v>2021</v>
      </c>
      <c r="D150" s="126" t="s">
        <v>476</v>
      </c>
      <c r="E150" s="119" t="s">
        <v>10</v>
      </c>
      <c r="F150" s="110" t="s">
        <v>387</v>
      </c>
      <c r="G150" s="47" t="s">
        <v>386</v>
      </c>
      <c r="H150" s="114" t="s">
        <v>51</v>
      </c>
      <c r="I150" s="92">
        <v>2</v>
      </c>
      <c r="J150" s="113" t="s">
        <v>1</v>
      </c>
      <c r="K150" s="106">
        <v>307.10000000000002</v>
      </c>
      <c r="L150" s="93">
        <f t="shared" si="38"/>
        <v>614.20000000000005</v>
      </c>
      <c r="M150" s="7">
        <f t="shared" ref="M150:M160" si="44">SUM(M149+L150)</f>
        <v>515513.50000000006</v>
      </c>
      <c r="N150" s="108" t="s">
        <v>478</v>
      </c>
      <c r="O150" s="91">
        <v>2</v>
      </c>
      <c r="P150" s="94">
        <f t="shared" si="39"/>
        <v>0</v>
      </c>
      <c r="Q150" s="95" t="s">
        <v>482</v>
      </c>
      <c r="R150" s="95"/>
    </row>
    <row r="151" spans="1:18" ht="29" x14ac:dyDescent="0.35">
      <c r="A151" s="97">
        <v>44484</v>
      </c>
      <c r="B151" s="73">
        <f t="shared" si="42"/>
        <v>10</v>
      </c>
      <c r="C151" s="75">
        <f t="shared" si="43"/>
        <v>2021</v>
      </c>
      <c r="D151" s="126" t="s">
        <v>476</v>
      </c>
      <c r="E151" s="119" t="s">
        <v>10</v>
      </c>
      <c r="F151" s="110" t="s">
        <v>461</v>
      </c>
      <c r="G151" s="110" t="s">
        <v>461</v>
      </c>
      <c r="H151" s="114" t="s">
        <v>51</v>
      </c>
      <c r="I151" s="92">
        <v>2</v>
      </c>
      <c r="J151" s="113" t="s">
        <v>1</v>
      </c>
      <c r="K151" s="106">
        <v>288</v>
      </c>
      <c r="L151" s="93">
        <f t="shared" si="38"/>
        <v>576</v>
      </c>
      <c r="M151" s="7">
        <f t="shared" si="44"/>
        <v>516089.50000000006</v>
      </c>
      <c r="N151" s="108" t="s">
        <v>478</v>
      </c>
      <c r="O151" s="91">
        <v>2</v>
      </c>
      <c r="P151" s="94">
        <f t="shared" si="39"/>
        <v>0</v>
      </c>
      <c r="Q151" s="95" t="s">
        <v>482</v>
      </c>
      <c r="R151" s="95"/>
    </row>
    <row r="152" spans="1:18" ht="29" x14ac:dyDescent="0.35">
      <c r="A152" s="97">
        <v>44487</v>
      </c>
      <c r="B152" s="73">
        <f t="shared" si="42"/>
        <v>10</v>
      </c>
      <c r="C152" s="75">
        <f t="shared" si="43"/>
        <v>2021</v>
      </c>
      <c r="D152" s="126" t="s">
        <v>528</v>
      </c>
      <c r="E152" s="119" t="s">
        <v>455</v>
      </c>
      <c r="F152" s="110" t="s">
        <v>488</v>
      </c>
      <c r="G152" s="110" t="s">
        <v>488</v>
      </c>
      <c r="H152" s="114" t="s">
        <v>51</v>
      </c>
      <c r="I152" s="92">
        <v>9</v>
      </c>
      <c r="J152" s="113" t="s">
        <v>1</v>
      </c>
      <c r="K152" s="106">
        <v>270</v>
      </c>
      <c r="L152" s="93">
        <f t="shared" si="38"/>
        <v>2430</v>
      </c>
      <c r="M152" s="7">
        <f t="shared" si="44"/>
        <v>518519.50000000006</v>
      </c>
      <c r="N152" s="108" t="s">
        <v>484</v>
      </c>
      <c r="O152" s="91">
        <v>9</v>
      </c>
      <c r="P152" s="94">
        <f t="shared" si="39"/>
        <v>0</v>
      </c>
      <c r="Q152" s="95" t="s">
        <v>489</v>
      </c>
      <c r="R152" s="95"/>
    </row>
    <row r="153" spans="1:18" ht="29" x14ac:dyDescent="0.35">
      <c r="A153" s="97">
        <v>44488</v>
      </c>
      <c r="B153" s="73">
        <f t="shared" si="42"/>
        <v>10</v>
      </c>
      <c r="C153" s="75">
        <f t="shared" si="43"/>
        <v>2021</v>
      </c>
      <c r="D153" s="126"/>
      <c r="E153" s="119" t="s">
        <v>491</v>
      </c>
      <c r="F153" s="105" t="s">
        <v>492</v>
      </c>
      <c r="G153" s="105" t="s">
        <v>492</v>
      </c>
      <c r="H153" s="114" t="s">
        <v>51</v>
      </c>
      <c r="I153" s="92">
        <v>12</v>
      </c>
      <c r="J153" s="113" t="s">
        <v>18</v>
      </c>
      <c r="K153" s="106">
        <v>700</v>
      </c>
      <c r="L153" s="93">
        <f t="shared" si="38"/>
        <v>8400</v>
      </c>
      <c r="M153" s="7">
        <f t="shared" si="44"/>
        <v>526919.5</v>
      </c>
      <c r="N153" s="108" t="s">
        <v>517</v>
      </c>
      <c r="O153" s="91">
        <f>1+1</f>
        <v>2</v>
      </c>
      <c r="P153" s="94">
        <f t="shared" si="39"/>
        <v>10</v>
      </c>
      <c r="Q153" s="95" t="s">
        <v>518</v>
      </c>
      <c r="R153" s="95"/>
    </row>
    <row r="154" spans="1:18" x14ac:dyDescent="0.35">
      <c r="A154" s="97">
        <v>44489</v>
      </c>
      <c r="B154" s="73">
        <f t="shared" si="42"/>
        <v>10</v>
      </c>
      <c r="C154" s="75">
        <f t="shared" si="43"/>
        <v>2021</v>
      </c>
      <c r="D154" s="126"/>
      <c r="E154" s="119" t="s">
        <v>10</v>
      </c>
      <c r="F154" s="105" t="s">
        <v>423</v>
      </c>
      <c r="G154" s="47" t="s">
        <v>423</v>
      </c>
      <c r="H154" s="114" t="s">
        <v>51</v>
      </c>
      <c r="I154" s="92">
        <v>16</v>
      </c>
      <c r="J154" s="113" t="s">
        <v>25</v>
      </c>
      <c r="K154" s="106">
        <v>65</v>
      </c>
      <c r="L154" s="93">
        <f>SUM(I154*K154)</f>
        <v>1040</v>
      </c>
      <c r="M154" s="7">
        <f t="shared" si="44"/>
        <v>527959.5</v>
      </c>
      <c r="N154" s="108" t="s">
        <v>544</v>
      </c>
      <c r="O154" s="91">
        <f>1+4</f>
        <v>5</v>
      </c>
      <c r="P154" s="94">
        <f t="shared" si="39"/>
        <v>11</v>
      </c>
      <c r="Q154" s="95" t="s">
        <v>545</v>
      </c>
      <c r="R154" s="95"/>
    </row>
    <row r="155" spans="1:18" x14ac:dyDescent="0.35">
      <c r="A155" s="97">
        <v>44490</v>
      </c>
      <c r="B155" s="73">
        <f t="shared" si="42"/>
        <v>10</v>
      </c>
      <c r="C155" s="75">
        <f t="shared" si="43"/>
        <v>2021</v>
      </c>
      <c r="D155" s="126" t="s">
        <v>528</v>
      </c>
      <c r="E155" s="119" t="s">
        <v>455</v>
      </c>
      <c r="F155" s="110" t="s">
        <v>457</v>
      </c>
      <c r="G155" s="110" t="s">
        <v>457</v>
      </c>
      <c r="H155" s="114" t="s">
        <v>51</v>
      </c>
      <c r="I155" s="92">
        <v>5</v>
      </c>
      <c r="J155" s="113" t="s">
        <v>0</v>
      </c>
      <c r="K155" s="106">
        <v>1760</v>
      </c>
      <c r="L155" s="93">
        <f t="shared" ref="L155:L157" si="45">SUM(I155*K155)</f>
        <v>8800</v>
      </c>
      <c r="M155" s="7">
        <f t="shared" si="44"/>
        <v>536759.5</v>
      </c>
      <c r="N155" s="108" t="s">
        <v>540</v>
      </c>
      <c r="O155" s="91">
        <v>4</v>
      </c>
      <c r="P155" s="94">
        <f t="shared" si="39"/>
        <v>1</v>
      </c>
      <c r="Q155" s="95" t="s">
        <v>541</v>
      </c>
      <c r="R155" s="95"/>
    </row>
    <row r="156" spans="1:18" ht="29" x14ac:dyDescent="0.35">
      <c r="A156" s="97">
        <v>44490</v>
      </c>
      <c r="B156" s="73">
        <f t="shared" ref="B156:B157" si="46">MONTH(A156)</f>
        <v>10</v>
      </c>
      <c r="C156" s="75">
        <f t="shared" ref="C156:C157" si="47">YEAR(A156)</f>
        <v>2021</v>
      </c>
      <c r="D156" s="126" t="s">
        <v>528</v>
      </c>
      <c r="E156" s="119" t="s">
        <v>455</v>
      </c>
      <c r="F156" s="59" t="s">
        <v>529</v>
      </c>
      <c r="G156" s="59" t="s">
        <v>529</v>
      </c>
      <c r="H156" s="114" t="s">
        <v>51</v>
      </c>
      <c r="I156" s="92">
        <v>10</v>
      </c>
      <c r="J156" s="113" t="s">
        <v>0</v>
      </c>
      <c r="K156" s="106">
        <v>1760</v>
      </c>
      <c r="L156" s="93">
        <f t="shared" si="45"/>
        <v>17600</v>
      </c>
      <c r="M156" s="7">
        <f t="shared" si="44"/>
        <v>554359.5</v>
      </c>
      <c r="N156" s="108"/>
      <c r="O156" s="91"/>
      <c r="P156" s="94">
        <f t="shared" si="39"/>
        <v>10</v>
      </c>
      <c r="Q156" s="95"/>
      <c r="R156" s="95"/>
    </row>
    <row r="157" spans="1:18" x14ac:dyDescent="0.35">
      <c r="A157" s="97">
        <v>44490</v>
      </c>
      <c r="B157" s="73">
        <f t="shared" si="46"/>
        <v>10</v>
      </c>
      <c r="C157" s="75">
        <f t="shared" si="47"/>
        <v>2021</v>
      </c>
      <c r="D157" s="126"/>
      <c r="E157" s="128" t="s">
        <v>354</v>
      </c>
      <c r="F157" s="110" t="s">
        <v>527</v>
      </c>
      <c r="G157" s="110" t="s">
        <v>527</v>
      </c>
      <c r="H157" s="114" t="s">
        <v>51</v>
      </c>
      <c r="I157" s="92">
        <v>5</v>
      </c>
      <c r="J157" s="113" t="s">
        <v>0</v>
      </c>
      <c r="K157" s="106">
        <v>1749</v>
      </c>
      <c r="L157" s="93">
        <f t="shared" si="45"/>
        <v>8745</v>
      </c>
      <c r="M157" s="7">
        <f t="shared" si="44"/>
        <v>563104.5</v>
      </c>
      <c r="N157" s="108"/>
      <c r="O157" s="91"/>
      <c r="P157" s="94">
        <f t="shared" si="39"/>
        <v>5</v>
      </c>
      <c r="Q157" s="95"/>
      <c r="R157" s="95"/>
    </row>
    <row r="158" spans="1:18" ht="72.5" x14ac:dyDescent="0.35">
      <c r="A158" s="97">
        <v>44495</v>
      </c>
      <c r="B158" s="73">
        <f t="shared" si="42"/>
        <v>10</v>
      </c>
      <c r="C158" s="75">
        <f t="shared" si="43"/>
        <v>2021</v>
      </c>
      <c r="D158" s="126"/>
      <c r="E158" s="119" t="s">
        <v>10</v>
      </c>
      <c r="F158" s="105" t="s">
        <v>19</v>
      </c>
      <c r="G158" s="47" t="s">
        <v>19</v>
      </c>
      <c r="H158" s="114" t="s">
        <v>51</v>
      </c>
      <c r="I158" s="92">
        <v>12</v>
      </c>
      <c r="J158" s="113" t="s">
        <v>25</v>
      </c>
      <c r="K158" s="106">
        <v>82.5</v>
      </c>
      <c r="L158" s="93">
        <f t="shared" si="38"/>
        <v>990</v>
      </c>
      <c r="M158" s="7">
        <f t="shared" si="44"/>
        <v>564094.5</v>
      </c>
      <c r="N158" s="130" t="s">
        <v>511</v>
      </c>
      <c r="O158" s="91">
        <f>1+1+1+4</f>
        <v>7</v>
      </c>
      <c r="P158" s="94">
        <f t="shared" si="39"/>
        <v>5</v>
      </c>
      <c r="Q158" s="95" t="s">
        <v>512</v>
      </c>
      <c r="R158" s="134" t="s">
        <v>513</v>
      </c>
    </row>
    <row r="159" spans="1:18" ht="29" x14ac:dyDescent="0.35">
      <c r="A159" s="97">
        <v>44495</v>
      </c>
      <c r="B159" s="73">
        <f t="shared" ref="B159:B160" si="48">MONTH(A159)</f>
        <v>10</v>
      </c>
      <c r="C159" s="75">
        <f t="shared" ref="C159:C160" si="49">YEAR(A159)</f>
        <v>2021</v>
      </c>
      <c r="D159" s="126"/>
      <c r="E159" s="119" t="s">
        <v>10</v>
      </c>
      <c r="F159" s="110" t="s">
        <v>461</v>
      </c>
      <c r="G159" s="110" t="s">
        <v>461</v>
      </c>
      <c r="H159" s="114" t="s">
        <v>51</v>
      </c>
      <c r="I159" s="92">
        <v>20</v>
      </c>
      <c r="J159" s="113" t="s">
        <v>1</v>
      </c>
      <c r="K159" s="106">
        <v>288</v>
      </c>
      <c r="L159" s="93">
        <f t="shared" si="38"/>
        <v>5760</v>
      </c>
      <c r="M159" s="7">
        <f t="shared" si="44"/>
        <v>569854.5</v>
      </c>
      <c r="N159" s="108" t="s">
        <v>510</v>
      </c>
      <c r="O159" s="91">
        <f>9</f>
        <v>9</v>
      </c>
      <c r="P159" s="94">
        <f t="shared" si="39"/>
        <v>11</v>
      </c>
      <c r="Q159" s="95" t="s">
        <v>516</v>
      </c>
      <c r="R159" s="95"/>
    </row>
    <row r="160" spans="1:18" x14ac:dyDescent="0.35">
      <c r="A160" s="97">
        <v>44497</v>
      </c>
      <c r="B160" s="73">
        <f t="shared" si="48"/>
        <v>10</v>
      </c>
      <c r="C160" s="75">
        <f t="shared" si="49"/>
        <v>2021</v>
      </c>
      <c r="D160" s="122" t="s">
        <v>534</v>
      </c>
      <c r="E160" s="119" t="s">
        <v>310</v>
      </c>
      <c r="F160" s="59" t="s">
        <v>319</v>
      </c>
      <c r="G160" s="59" t="s">
        <v>319</v>
      </c>
      <c r="H160" s="57" t="s">
        <v>51</v>
      </c>
      <c r="I160" s="17">
        <v>4</v>
      </c>
      <c r="J160" s="31" t="s">
        <v>125</v>
      </c>
      <c r="K160" s="106">
        <v>305</v>
      </c>
      <c r="L160" s="93">
        <f t="shared" si="38"/>
        <v>1220</v>
      </c>
      <c r="M160" s="7">
        <f t="shared" si="44"/>
        <v>571074.5</v>
      </c>
      <c r="N160" s="108" t="s">
        <v>530</v>
      </c>
      <c r="O160" s="91">
        <f>1</f>
        <v>1</v>
      </c>
      <c r="P160" s="94">
        <f t="shared" si="39"/>
        <v>3</v>
      </c>
      <c r="Q160" s="95" t="s">
        <v>537</v>
      </c>
      <c r="R160" s="95"/>
    </row>
    <row r="161" spans="1:18" x14ac:dyDescent="0.35">
      <c r="A161" s="97"/>
      <c r="B161" s="73"/>
      <c r="C161" s="75"/>
      <c r="D161" s="126"/>
      <c r="E161" s="128"/>
      <c r="F161" s="110"/>
      <c r="G161" s="110"/>
      <c r="H161" s="114"/>
      <c r="I161" s="92"/>
      <c r="J161" s="113"/>
      <c r="K161" s="106"/>
      <c r="L161" s="93"/>
      <c r="M161" s="7"/>
      <c r="N161" s="108"/>
      <c r="O161" s="91"/>
      <c r="P161" s="94"/>
      <c r="Q161" s="95"/>
      <c r="R161" s="95"/>
    </row>
    <row r="162" spans="1:18" x14ac:dyDescent="0.35">
      <c r="A162" s="97"/>
      <c r="B162" s="73"/>
      <c r="C162" s="75"/>
      <c r="D162" s="126"/>
      <c r="E162" s="119"/>
      <c r="F162" s="110"/>
      <c r="G162" s="47"/>
      <c r="H162" s="114"/>
      <c r="I162" s="92"/>
      <c r="J162" s="113"/>
      <c r="K162" s="106"/>
      <c r="L162" s="93"/>
      <c r="M162" s="7"/>
      <c r="N162" s="108"/>
      <c r="O162" s="91"/>
      <c r="P162" s="94"/>
      <c r="Q162" s="95"/>
      <c r="R162" s="95"/>
    </row>
    <row r="163" spans="1:18" x14ac:dyDescent="0.35">
      <c r="A163" s="97"/>
      <c r="B163" s="73"/>
      <c r="C163" s="75"/>
      <c r="D163" s="126"/>
      <c r="E163" s="119"/>
      <c r="F163" s="110"/>
      <c r="G163" s="47"/>
      <c r="H163" s="114"/>
      <c r="I163" s="92"/>
      <c r="J163" s="113"/>
      <c r="K163" s="106"/>
      <c r="L163" s="93"/>
      <c r="M163" s="7"/>
      <c r="N163" s="108"/>
      <c r="O163" s="91"/>
      <c r="P163" s="94"/>
      <c r="Q163" s="95"/>
      <c r="R163" s="95"/>
    </row>
    <row r="164" spans="1:18" x14ac:dyDescent="0.35">
      <c r="A164" s="97"/>
      <c r="B164" s="73"/>
      <c r="C164" s="75"/>
      <c r="D164" s="126"/>
      <c r="E164" s="119"/>
      <c r="F164" s="110"/>
      <c r="G164" s="47"/>
      <c r="H164" s="114"/>
      <c r="I164" s="92"/>
      <c r="J164" s="113"/>
      <c r="K164" s="106"/>
      <c r="L164" s="93"/>
      <c r="M164" s="7"/>
      <c r="N164" s="108"/>
      <c r="O164" s="91"/>
      <c r="P164" s="94"/>
      <c r="Q164" s="95"/>
      <c r="R164" s="95"/>
    </row>
    <row r="165" spans="1:18" x14ac:dyDescent="0.35">
      <c r="A165" s="97"/>
      <c r="B165" s="73"/>
      <c r="C165" s="75"/>
      <c r="D165" s="126"/>
      <c r="E165" s="119"/>
      <c r="F165" s="110"/>
      <c r="G165" s="47"/>
      <c r="H165" s="114"/>
      <c r="I165" s="92"/>
      <c r="J165" s="113"/>
      <c r="K165" s="106"/>
      <c r="L165" s="93"/>
      <c r="M165" s="7"/>
      <c r="N165" s="108"/>
      <c r="O165" s="91"/>
      <c r="P165" s="94"/>
      <c r="Q165" s="95"/>
      <c r="R165" s="95"/>
    </row>
    <row r="166" spans="1:18" x14ac:dyDescent="0.35">
      <c r="A166" s="97"/>
      <c r="B166" s="73"/>
      <c r="C166" s="75"/>
      <c r="D166" s="126"/>
      <c r="E166" s="119"/>
      <c r="F166" s="105"/>
      <c r="G166" s="47"/>
      <c r="H166" s="114"/>
      <c r="I166" s="92"/>
      <c r="J166" s="113"/>
      <c r="K166" s="106"/>
      <c r="L166" s="93"/>
      <c r="M166" s="7"/>
      <c r="N166" s="108"/>
      <c r="O166" s="91"/>
      <c r="P166" s="94"/>
      <c r="Q166" s="95"/>
      <c r="R166" s="95"/>
    </row>
    <row r="167" spans="1:18" x14ac:dyDescent="0.35">
      <c r="A167" s="92"/>
      <c r="B167" s="73"/>
      <c r="C167" s="101"/>
      <c r="D167" s="127"/>
      <c r="E167" s="119"/>
      <c r="F167" s="105"/>
      <c r="G167" s="60"/>
      <c r="H167" s="55"/>
      <c r="I167" s="17"/>
      <c r="J167" s="21"/>
      <c r="K167" s="133"/>
      <c r="L167" s="93"/>
      <c r="M167" s="7"/>
      <c r="N167" s="91"/>
      <c r="O167" s="91"/>
      <c r="P167" s="91"/>
      <c r="Q167" s="91"/>
      <c r="R167" s="91"/>
    </row>
  </sheetData>
  <phoneticPr fontId="3" type="noConversion"/>
  <pageMargins left="0" right="0" top="0" bottom="0" header="0.11811023622047245" footer="0"/>
  <pageSetup scale="72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336550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431800</xdr:colOff>
                <xdr:row>13</xdr:row>
                <xdr:rowOff>412750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596900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323850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311150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431800</xdr:colOff>
                <xdr:row>27</xdr:row>
                <xdr:rowOff>311150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431800</xdr:colOff>
                <xdr:row>30</xdr:row>
                <xdr:rowOff>317500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25400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412750</xdr:colOff>
                <xdr:row>33</xdr:row>
                <xdr:rowOff>482600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431800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317500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501650</xdr:colOff>
                <xdr:row>48</xdr:row>
                <xdr:rowOff>177800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508000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412750</xdr:colOff>
                <xdr:row>52</xdr:row>
                <xdr:rowOff>412750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285750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349250</xdr:colOff>
                <xdr:row>54</xdr:row>
                <xdr:rowOff>349250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431800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323850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25400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717550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304800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374650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577850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412750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349250</xdr:colOff>
                <xdr:row>69</xdr:row>
                <xdr:rowOff>279400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79</xdr:row>
                <xdr:rowOff>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412750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88900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304800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400050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431800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349250</xdr:colOff>
                <xdr:row>92</xdr:row>
                <xdr:rowOff>304800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12700</xdr:colOff>
                <xdr:row>93</xdr:row>
                <xdr:rowOff>139700</xdr:rowOff>
              </from>
              <to>
                <xdr:col>19</xdr:col>
                <xdr:colOff>349250</xdr:colOff>
                <xdr:row>94</xdr:row>
                <xdr:rowOff>31750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38100</xdr:colOff>
                <xdr:row>95</xdr:row>
                <xdr:rowOff>50800</xdr:rowOff>
              </from>
              <to>
                <xdr:col>19</xdr:col>
                <xdr:colOff>304800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374650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349250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184150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279400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285750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349250</xdr:colOff>
                <xdr:row>26</xdr:row>
                <xdr:rowOff>304800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311150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177800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355600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2" r:id="rId100">
          <objectPr defaultSize="0" autoPict="0" r:id="rId101">
            <anchor moveWithCells="1">
              <from>
                <xdr:col>19</xdr:col>
                <xdr:colOff>76200</xdr:colOff>
                <xdr:row>105</xdr:row>
                <xdr:rowOff>171450</xdr:rowOff>
              </from>
              <to>
                <xdr:col>19</xdr:col>
                <xdr:colOff>311150</xdr:colOff>
                <xdr:row>105</xdr:row>
                <xdr:rowOff>349250</xdr:rowOff>
              </to>
            </anchor>
          </objectPr>
        </oleObject>
      </mc:Choice>
      <mc:Fallback>
        <oleObject progId="Packager Shell Object" dvAspect="DVASPECT_ICON" shapeId="2102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2">
          <objectPr defaultSize="0" autoPict="0" r:id="rId103">
            <anchor moveWithCells="1">
              <from>
                <xdr:col>19</xdr:col>
                <xdr:colOff>69850</xdr:colOff>
                <xdr:row>107</xdr:row>
                <xdr:rowOff>101600</xdr:rowOff>
              </from>
              <to>
                <xdr:col>19</xdr:col>
                <xdr:colOff>336550</xdr:colOff>
                <xdr:row>107</xdr:row>
                <xdr:rowOff>304800</xdr:rowOff>
              </to>
            </anchor>
          </objectPr>
        </oleObject>
      </mc:Choice>
      <mc:Fallback>
        <oleObject progId="Packager Shell Object" dvAspect="DVASPECT_ICON" shapeId="2103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4">
          <objectPr defaultSize="0" autoPict="0" r:id="rId105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304800</xdr:rowOff>
              </to>
            </anchor>
          </objectPr>
        </oleObject>
      </mc:Choice>
      <mc:Fallback>
        <oleObject progId="Packager Shell Object" dvAspect="DVASPECT_ICON" shapeId="2104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6">
          <objectPr defaultSize="0" autoPict="0" r:id="rId107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323850</xdr:rowOff>
              </to>
            </anchor>
          </objectPr>
        </oleObject>
      </mc:Choice>
      <mc:Fallback>
        <oleObject progId="Packager Shell Object" dvAspect="DVASPECT_ICON" shapeId="2105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8">
          <objectPr defaultSize="0" autoPict="0" r:id="rId109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349250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10">
          <objectPr defaultSize="0" autoPict="0" r:id="rId111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152400</xdr:rowOff>
              </to>
            </anchor>
          </objectPr>
        </oleObject>
      </mc:Choice>
      <mc:Fallback>
        <oleObject progId="Packager Shell Object" dvAspect="DVASPECT_ICON" shapeId="2107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2">
          <objectPr defaultSize="0" autoPict="0" r:id="rId113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4">
          <objectPr defaultSize="0" autoPict="0" r:id="rId115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6">
          <objectPr defaultSize="0" autoPict="0" r:id="rId117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431800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8">
          <objectPr defaultSize="0" autoPict="0" r:id="rId119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279400</xdr:rowOff>
              </to>
            </anchor>
          </objectPr>
        </oleObject>
      </mc:Choice>
      <mc:Fallback>
        <oleObject progId="Packager Shell Object" dvAspect="DVASPECT_ICON" shapeId="2111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20">
          <objectPr defaultSize="0" autoPict="0" r:id="rId121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2">
          <objectPr defaultSize="0" autoPict="0" r:id="rId123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431800</xdr:colOff>
                <xdr:row>121</xdr:row>
                <xdr:rowOff>177800</xdr:rowOff>
              </to>
            </anchor>
          </objectPr>
        </oleObject>
      </mc:Choice>
      <mc:Fallback>
        <oleObject progId="Packager Shell Object" dvAspect="DVASPECT_ICON" shapeId="2113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4">
          <objectPr defaultSize="0" autoPict="0" r:id="rId125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431800</xdr:colOff>
                <xdr:row>120</xdr:row>
                <xdr:rowOff>304800</xdr:rowOff>
              </to>
            </anchor>
          </objectPr>
        </oleObject>
      </mc:Choice>
      <mc:Fallback>
        <oleObject progId="Packager Shell Object" dvAspect="DVASPECT_ICON" shapeId="2114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6">
          <objectPr defaultSize="0" autoPict="0" r:id="rId127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273050</xdr:rowOff>
              </to>
            </anchor>
          </objectPr>
        </oleObject>
      </mc:Choice>
      <mc:Fallback>
        <oleObject progId="Packager Shell Object" dvAspect="DVASPECT_ICON" shapeId="2115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8">
          <objectPr defaultSize="0" autoPict="0" r:id="rId129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431800</xdr:colOff>
                <xdr:row>128</xdr:row>
                <xdr:rowOff>273050</xdr:rowOff>
              </to>
            </anchor>
          </objectPr>
        </oleObject>
      </mc:Choice>
      <mc:Fallback>
        <oleObject progId="Packager Shell Object" dvAspect="DVASPECT_ICON" shapeId="2116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30">
          <objectPr defaultSize="0" autoPict="0" r:id="rId131">
            <anchor moveWithCells="1">
              <from>
                <xdr:col>19</xdr:col>
                <xdr:colOff>184150</xdr:colOff>
                <xdr:row>130</xdr:row>
                <xdr:rowOff>82550</xdr:rowOff>
              </from>
              <to>
                <xdr:col>19</xdr:col>
                <xdr:colOff>450850</xdr:colOff>
                <xdr:row>130</xdr:row>
                <xdr:rowOff>279400</xdr:rowOff>
              </to>
            </anchor>
          </objectPr>
        </oleObject>
      </mc:Choice>
      <mc:Fallback>
        <oleObject progId="Packager Shell Object" dvAspect="DVASPECT_ICON" shapeId="2117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2">
          <objectPr defaultSize="0" autoPict="0" r:id="rId133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412750</xdr:colOff>
                <xdr:row>131</xdr:row>
                <xdr:rowOff>279400</xdr:rowOff>
              </to>
            </anchor>
          </objectPr>
        </oleObject>
      </mc:Choice>
      <mc:Fallback>
        <oleObject progId="Packager Shell Object" dvAspect="DVASPECT_ICON" shapeId="2118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4">
          <objectPr defaultSize="0" autoPict="0" r:id="rId135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463550</xdr:rowOff>
              </to>
            </anchor>
          </objectPr>
        </oleObject>
      </mc:Choice>
      <mc:Fallback>
        <oleObject progId="Packager Shell Object" dvAspect="DVASPECT_ICON" shapeId="2119" r:id="rId13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178"/>
  <sheetViews>
    <sheetView topLeftCell="B151" workbookViewId="0">
      <selection activeCell="D165" sqref="D165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49" t="s">
        <v>190</v>
      </c>
    </row>
    <row r="4" spans="1:7" x14ac:dyDescent="0.35">
      <c r="A4" s="49" t="s">
        <v>294</v>
      </c>
      <c r="B4" s="49" t="s">
        <v>11</v>
      </c>
      <c r="C4" s="49" t="s">
        <v>84</v>
      </c>
      <c r="D4" s="49" t="s">
        <v>178</v>
      </c>
      <c r="E4" t="s">
        <v>191</v>
      </c>
      <c r="F4" t="s">
        <v>295</v>
      </c>
      <c r="G4" t="s">
        <v>296</v>
      </c>
    </row>
    <row r="5" spans="1:7" x14ac:dyDescent="0.35">
      <c r="A5">
        <v>2019</v>
      </c>
      <c r="B5" t="s">
        <v>10</v>
      </c>
      <c r="C5" t="s">
        <v>330</v>
      </c>
      <c r="D5" t="s">
        <v>179</v>
      </c>
      <c r="E5" s="77">
        <v>4</v>
      </c>
      <c r="F5" s="77">
        <v>141</v>
      </c>
      <c r="G5" s="77">
        <v>564</v>
      </c>
    </row>
    <row r="6" spans="1:7" x14ac:dyDescent="0.35">
      <c r="D6" t="s">
        <v>176</v>
      </c>
      <c r="E6" s="77">
        <v>16</v>
      </c>
      <c r="F6" s="77">
        <v>173.9</v>
      </c>
      <c r="G6" s="77">
        <v>2782.4</v>
      </c>
    </row>
    <row r="7" spans="1:7" x14ac:dyDescent="0.35">
      <c r="D7" t="s">
        <v>16</v>
      </c>
      <c r="E7" s="77">
        <v>10</v>
      </c>
      <c r="F7" s="77">
        <v>180</v>
      </c>
      <c r="G7" s="77">
        <v>1800</v>
      </c>
    </row>
    <row r="8" spans="1:7" x14ac:dyDescent="0.35">
      <c r="D8" t="s">
        <v>15</v>
      </c>
      <c r="E8" s="77">
        <v>1</v>
      </c>
      <c r="F8" s="77">
        <v>1226.25</v>
      </c>
      <c r="G8" s="77">
        <v>1226.25</v>
      </c>
    </row>
    <row r="9" spans="1:7" x14ac:dyDescent="0.35">
      <c r="D9" t="s">
        <v>14</v>
      </c>
      <c r="E9" s="77">
        <v>5</v>
      </c>
      <c r="F9" s="77">
        <v>1226.25</v>
      </c>
      <c r="G9" s="77">
        <v>6131.25</v>
      </c>
    </row>
    <row r="10" spans="1:7" x14ac:dyDescent="0.35">
      <c r="B10" s="79" t="s">
        <v>297</v>
      </c>
      <c r="C10" s="79"/>
      <c r="D10" s="79"/>
      <c r="E10" s="80">
        <v>36</v>
      </c>
      <c r="F10" s="80">
        <v>2947.4</v>
      </c>
      <c r="G10" s="80">
        <v>12503.9</v>
      </c>
    </row>
    <row r="11" spans="1:7" x14ac:dyDescent="0.35">
      <c r="A11" s="135" t="s">
        <v>503</v>
      </c>
      <c r="B11" s="135"/>
      <c r="C11" s="135"/>
      <c r="D11" s="135"/>
      <c r="E11" s="136">
        <v>36</v>
      </c>
      <c r="F11" s="136">
        <v>2947.4</v>
      </c>
      <c r="G11" s="136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77">
        <v>20</v>
      </c>
      <c r="F12" s="77">
        <v>1452</v>
      </c>
      <c r="G12" s="77">
        <v>29040</v>
      </c>
    </row>
    <row r="13" spans="1:7" x14ac:dyDescent="0.35">
      <c r="C13" t="s">
        <v>276</v>
      </c>
      <c r="D13" t="s">
        <v>28</v>
      </c>
      <c r="E13" s="77">
        <v>40</v>
      </c>
      <c r="F13" s="77">
        <v>25</v>
      </c>
      <c r="G13" s="77">
        <v>1000</v>
      </c>
    </row>
    <row r="14" spans="1:7" x14ac:dyDescent="0.35">
      <c r="C14" t="s">
        <v>277</v>
      </c>
      <c r="D14" t="s">
        <v>17</v>
      </c>
      <c r="E14" s="77">
        <v>2</v>
      </c>
      <c r="F14" s="77">
        <v>204</v>
      </c>
      <c r="G14" s="77">
        <v>408</v>
      </c>
    </row>
    <row r="15" spans="1:7" x14ac:dyDescent="0.35">
      <c r="C15" t="s">
        <v>74</v>
      </c>
      <c r="D15" t="s">
        <v>19</v>
      </c>
      <c r="E15" s="77">
        <v>12</v>
      </c>
      <c r="F15" s="77">
        <v>77.5</v>
      </c>
      <c r="G15" s="77">
        <v>930</v>
      </c>
    </row>
    <row r="16" spans="1:7" x14ac:dyDescent="0.35">
      <c r="D16" t="s">
        <v>177</v>
      </c>
      <c r="E16" s="77">
        <v>16</v>
      </c>
      <c r="F16" s="77">
        <v>253.8</v>
      </c>
      <c r="G16" s="77">
        <v>4060.8</v>
      </c>
    </row>
    <row r="17" spans="3:7" x14ac:dyDescent="0.35">
      <c r="D17" t="s">
        <v>17</v>
      </c>
      <c r="E17" s="77">
        <v>2</v>
      </c>
      <c r="F17" s="77">
        <v>176</v>
      </c>
      <c r="G17" s="77">
        <v>352</v>
      </c>
    </row>
    <row r="18" spans="3:7" x14ac:dyDescent="0.35">
      <c r="D18" t="s">
        <v>15</v>
      </c>
      <c r="E18" s="77">
        <v>1</v>
      </c>
      <c r="F18" s="77">
        <v>1181.25</v>
      </c>
      <c r="G18" s="77">
        <v>1181.25</v>
      </c>
    </row>
    <row r="19" spans="3:7" x14ac:dyDescent="0.35">
      <c r="C19" t="s">
        <v>75</v>
      </c>
      <c r="D19" t="s">
        <v>19</v>
      </c>
      <c r="E19" s="77">
        <v>20</v>
      </c>
      <c r="F19" s="77">
        <v>77.5</v>
      </c>
      <c r="G19" s="77">
        <v>1550</v>
      </c>
    </row>
    <row r="20" spans="3:7" x14ac:dyDescent="0.35">
      <c r="D20" t="s">
        <v>176</v>
      </c>
      <c r="E20" s="77">
        <v>20</v>
      </c>
      <c r="F20" s="77">
        <v>173.9</v>
      </c>
      <c r="G20" s="77">
        <v>3478</v>
      </c>
    </row>
    <row r="21" spans="3:7" x14ac:dyDescent="0.35">
      <c r="D21" t="s">
        <v>29</v>
      </c>
      <c r="E21" s="77">
        <v>4</v>
      </c>
      <c r="F21" s="77">
        <v>1155</v>
      </c>
      <c r="G21" s="77">
        <v>4620</v>
      </c>
    </row>
    <row r="22" spans="3:7" x14ac:dyDescent="0.35">
      <c r="D22" t="s">
        <v>28</v>
      </c>
      <c r="E22" s="77">
        <v>40</v>
      </c>
      <c r="F22" s="77">
        <v>17.5</v>
      </c>
      <c r="G22" s="77">
        <v>700</v>
      </c>
    </row>
    <row r="23" spans="3:7" x14ac:dyDescent="0.35">
      <c r="C23" t="s">
        <v>76</v>
      </c>
      <c r="D23" t="s">
        <v>31</v>
      </c>
      <c r="E23" s="77">
        <v>2</v>
      </c>
      <c r="F23" s="77">
        <v>1155</v>
      </c>
      <c r="G23" s="77">
        <v>2310</v>
      </c>
    </row>
    <row r="24" spans="3:7" x14ac:dyDescent="0.35">
      <c r="D24" t="s">
        <v>29</v>
      </c>
      <c r="E24" s="77">
        <v>8</v>
      </c>
      <c r="F24" s="77">
        <v>1155</v>
      </c>
      <c r="G24" s="77">
        <v>9240</v>
      </c>
    </row>
    <row r="25" spans="3:7" x14ac:dyDescent="0.35">
      <c r="C25" t="s">
        <v>77</v>
      </c>
      <c r="D25" t="s">
        <v>16</v>
      </c>
      <c r="E25" s="77">
        <v>10</v>
      </c>
      <c r="F25" s="77">
        <v>172</v>
      </c>
      <c r="G25" s="77">
        <v>1720</v>
      </c>
    </row>
    <row r="26" spans="3:7" x14ac:dyDescent="0.35">
      <c r="D26" t="s">
        <v>15</v>
      </c>
      <c r="E26" s="77">
        <v>1</v>
      </c>
      <c r="F26" s="77">
        <v>1181.25</v>
      </c>
      <c r="G26" s="77">
        <v>1181.25</v>
      </c>
    </row>
    <row r="27" spans="3:7" x14ac:dyDescent="0.35">
      <c r="D27" t="s">
        <v>14</v>
      </c>
      <c r="E27" s="77">
        <v>2</v>
      </c>
      <c r="F27" s="77">
        <v>1181.25</v>
      </c>
      <c r="G27" s="77">
        <v>2362.5</v>
      </c>
    </row>
    <row r="28" spans="3:7" x14ac:dyDescent="0.35">
      <c r="C28" t="s">
        <v>78</v>
      </c>
      <c r="D28" t="s">
        <v>33</v>
      </c>
      <c r="E28" s="77">
        <v>1</v>
      </c>
      <c r="F28" s="77">
        <v>825</v>
      </c>
      <c r="G28" s="77">
        <v>825</v>
      </c>
    </row>
    <row r="29" spans="3:7" x14ac:dyDescent="0.35">
      <c r="C29" t="s">
        <v>81</v>
      </c>
      <c r="D29" t="s">
        <v>64</v>
      </c>
      <c r="E29" s="77">
        <v>10</v>
      </c>
      <c r="F29" s="77">
        <v>1155</v>
      </c>
      <c r="G29" s="77">
        <v>11550</v>
      </c>
    </row>
    <row r="30" spans="3:7" x14ac:dyDescent="0.35">
      <c r="C30" t="s">
        <v>82</v>
      </c>
      <c r="D30" t="s">
        <v>63</v>
      </c>
      <c r="E30" s="77">
        <v>1</v>
      </c>
      <c r="F30" s="77">
        <v>345</v>
      </c>
      <c r="G30" s="77">
        <v>345</v>
      </c>
    </row>
    <row r="31" spans="3:7" x14ac:dyDescent="0.35">
      <c r="D31" t="s">
        <v>29</v>
      </c>
      <c r="E31" s="77">
        <v>5</v>
      </c>
      <c r="F31" s="77">
        <v>1155</v>
      </c>
      <c r="G31" s="77">
        <v>5775</v>
      </c>
    </row>
    <row r="32" spans="3:7" x14ac:dyDescent="0.35">
      <c r="C32" t="s">
        <v>83</v>
      </c>
      <c r="D32" t="s">
        <v>33</v>
      </c>
      <c r="E32" s="77">
        <v>1</v>
      </c>
      <c r="F32" s="77">
        <v>900</v>
      </c>
      <c r="G32" s="77">
        <v>900</v>
      </c>
    </row>
    <row r="33" spans="3:7" x14ac:dyDescent="0.35">
      <c r="C33" t="s">
        <v>107</v>
      </c>
      <c r="D33" t="s">
        <v>19</v>
      </c>
      <c r="E33" s="77">
        <v>20</v>
      </c>
      <c r="F33" s="77">
        <v>77.5</v>
      </c>
      <c r="G33" s="77">
        <v>1550</v>
      </c>
    </row>
    <row r="34" spans="3:7" x14ac:dyDescent="0.35">
      <c r="D34" t="s">
        <v>16</v>
      </c>
      <c r="E34" s="77">
        <v>20</v>
      </c>
      <c r="F34" s="77">
        <v>168</v>
      </c>
      <c r="G34" s="77">
        <v>3360</v>
      </c>
    </row>
    <row r="35" spans="3:7" x14ac:dyDescent="0.35">
      <c r="C35" t="s">
        <v>106</v>
      </c>
      <c r="D35" t="s">
        <v>268</v>
      </c>
      <c r="E35" s="77">
        <v>1</v>
      </c>
      <c r="F35" s="77">
        <v>300</v>
      </c>
      <c r="G35" s="77">
        <v>300</v>
      </c>
    </row>
    <row r="36" spans="3:7" x14ac:dyDescent="0.35">
      <c r="D36" t="s">
        <v>29</v>
      </c>
      <c r="E36" s="77">
        <v>5</v>
      </c>
      <c r="F36" s="77">
        <v>1122</v>
      </c>
      <c r="G36" s="77">
        <v>5610</v>
      </c>
    </row>
    <row r="37" spans="3:7" x14ac:dyDescent="0.35">
      <c r="C37" t="s">
        <v>85</v>
      </c>
      <c r="D37" t="s">
        <v>180</v>
      </c>
      <c r="E37" s="77">
        <v>6</v>
      </c>
      <c r="F37" s="77">
        <v>253.8</v>
      </c>
      <c r="G37" s="77">
        <v>1522.8000000000002</v>
      </c>
    </row>
    <row r="38" spans="3:7" x14ac:dyDescent="0.35">
      <c r="D38" t="s">
        <v>177</v>
      </c>
      <c r="E38" s="77">
        <v>6</v>
      </c>
      <c r="F38" s="77">
        <v>253.8</v>
      </c>
      <c r="G38" s="77">
        <v>1522.8000000000002</v>
      </c>
    </row>
    <row r="39" spans="3:7" x14ac:dyDescent="0.35">
      <c r="D39" t="s">
        <v>16</v>
      </c>
      <c r="E39" s="77">
        <v>10</v>
      </c>
      <c r="F39" s="77">
        <v>168</v>
      </c>
      <c r="G39" s="77">
        <v>1680</v>
      </c>
    </row>
    <row r="40" spans="3:7" x14ac:dyDescent="0.35">
      <c r="D40" t="s">
        <v>31</v>
      </c>
      <c r="E40" s="77">
        <v>2</v>
      </c>
      <c r="F40" s="77">
        <v>1111</v>
      </c>
      <c r="G40" s="77">
        <v>2222</v>
      </c>
    </row>
    <row r="41" spans="3:7" x14ac:dyDescent="0.35">
      <c r="D41" t="s">
        <v>29</v>
      </c>
      <c r="E41" s="77">
        <v>10</v>
      </c>
      <c r="F41" s="77">
        <v>1111</v>
      </c>
      <c r="G41" s="77">
        <v>11110</v>
      </c>
    </row>
    <row r="42" spans="3:7" x14ac:dyDescent="0.35">
      <c r="C42" t="s">
        <v>148</v>
      </c>
      <c r="D42" t="s">
        <v>180</v>
      </c>
      <c r="E42" s="77">
        <v>15</v>
      </c>
      <c r="F42" s="77">
        <v>253.8</v>
      </c>
      <c r="G42" s="77">
        <v>3807</v>
      </c>
    </row>
    <row r="43" spans="3:7" x14ac:dyDescent="0.35">
      <c r="D43" t="s">
        <v>176</v>
      </c>
      <c r="E43" s="77">
        <v>20</v>
      </c>
      <c r="F43" s="77">
        <v>173.9</v>
      </c>
      <c r="G43" s="77">
        <v>3478</v>
      </c>
    </row>
    <row r="44" spans="3:7" x14ac:dyDescent="0.35">
      <c r="D44" t="s">
        <v>177</v>
      </c>
      <c r="E44" s="77">
        <v>20</v>
      </c>
      <c r="F44" s="77">
        <v>253.8</v>
      </c>
      <c r="G44" s="77">
        <v>5076</v>
      </c>
    </row>
    <row r="45" spans="3:7" x14ac:dyDescent="0.35">
      <c r="C45" t="s">
        <v>118</v>
      </c>
      <c r="D45" t="s">
        <v>29</v>
      </c>
      <c r="E45" s="77">
        <v>10</v>
      </c>
      <c r="F45" s="77">
        <v>1111</v>
      </c>
      <c r="G45" s="77">
        <v>11110</v>
      </c>
    </row>
    <row r="46" spans="3:7" x14ac:dyDescent="0.35">
      <c r="C46" t="s">
        <v>121</v>
      </c>
      <c r="D46" t="s">
        <v>19</v>
      </c>
      <c r="E46" s="77">
        <v>20</v>
      </c>
      <c r="F46" s="77">
        <v>77.5</v>
      </c>
      <c r="G46" s="77">
        <v>1550</v>
      </c>
    </row>
    <row r="47" spans="3:7" x14ac:dyDescent="0.35">
      <c r="D47" t="s">
        <v>16</v>
      </c>
      <c r="E47" s="77">
        <v>20</v>
      </c>
      <c r="F47" s="77">
        <v>168</v>
      </c>
      <c r="G47" s="77">
        <v>3360</v>
      </c>
    </row>
    <row r="48" spans="3:7" x14ac:dyDescent="0.35">
      <c r="D48" t="s">
        <v>31</v>
      </c>
      <c r="E48" s="77">
        <v>5</v>
      </c>
      <c r="F48" s="77">
        <v>1111</v>
      </c>
      <c r="G48" s="77">
        <v>5555</v>
      </c>
    </row>
    <row r="49" spans="3:7" x14ac:dyDescent="0.35">
      <c r="C49" t="s">
        <v>127</v>
      </c>
      <c r="D49" t="s">
        <v>64</v>
      </c>
      <c r="E49" s="77">
        <v>10</v>
      </c>
      <c r="F49" s="77">
        <v>1111</v>
      </c>
      <c r="G49" s="77">
        <v>11110</v>
      </c>
    </row>
    <row r="50" spans="3:7" x14ac:dyDescent="0.35">
      <c r="C50" t="s">
        <v>122</v>
      </c>
      <c r="D50" t="s">
        <v>29</v>
      </c>
      <c r="E50" s="77">
        <v>10</v>
      </c>
      <c r="F50" s="77">
        <v>1111</v>
      </c>
      <c r="G50" s="77">
        <v>11110</v>
      </c>
    </row>
    <row r="51" spans="3:7" x14ac:dyDescent="0.35">
      <c r="C51" t="s">
        <v>126</v>
      </c>
      <c r="D51" t="s">
        <v>55</v>
      </c>
      <c r="E51" s="77">
        <v>2</v>
      </c>
      <c r="F51" s="77">
        <v>168</v>
      </c>
      <c r="G51" s="77">
        <v>336</v>
      </c>
    </row>
    <row r="52" spans="3:7" x14ac:dyDescent="0.35">
      <c r="C52" t="s">
        <v>124</v>
      </c>
      <c r="D52" t="s">
        <v>246</v>
      </c>
      <c r="E52" s="77">
        <v>4</v>
      </c>
      <c r="F52" s="77">
        <v>28</v>
      </c>
      <c r="G52" s="77">
        <v>112</v>
      </c>
    </row>
    <row r="53" spans="3:7" x14ac:dyDescent="0.35">
      <c r="C53" t="s">
        <v>128</v>
      </c>
      <c r="D53" t="s">
        <v>17</v>
      </c>
      <c r="E53" s="77">
        <v>4</v>
      </c>
      <c r="F53" s="77">
        <v>176</v>
      </c>
      <c r="G53" s="77">
        <v>704</v>
      </c>
    </row>
    <row r="54" spans="3:7" x14ac:dyDescent="0.35">
      <c r="D54" t="s">
        <v>139</v>
      </c>
      <c r="E54" s="77">
        <v>1</v>
      </c>
      <c r="F54" s="77">
        <v>450</v>
      </c>
      <c r="G54" s="77">
        <v>450</v>
      </c>
    </row>
    <row r="55" spans="3:7" x14ac:dyDescent="0.35">
      <c r="C55" t="s">
        <v>159</v>
      </c>
      <c r="D55" t="s">
        <v>29</v>
      </c>
      <c r="E55" s="77">
        <v>5</v>
      </c>
      <c r="F55" s="77">
        <v>1199</v>
      </c>
      <c r="G55" s="77">
        <v>5995</v>
      </c>
    </row>
    <row r="56" spans="3:7" x14ac:dyDescent="0.35">
      <c r="C56" t="s">
        <v>174</v>
      </c>
      <c r="D56" t="s">
        <v>29</v>
      </c>
      <c r="E56" s="77">
        <v>5</v>
      </c>
      <c r="F56" s="77">
        <v>1199</v>
      </c>
      <c r="G56" s="77">
        <v>5995</v>
      </c>
    </row>
    <row r="57" spans="3:7" x14ac:dyDescent="0.35">
      <c r="C57" t="s">
        <v>175</v>
      </c>
      <c r="D57" t="s">
        <v>63</v>
      </c>
      <c r="E57" s="77">
        <v>1</v>
      </c>
      <c r="F57" s="77">
        <v>345</v>
      </c>
      <c r="G57" s="77">
        <v>345</v>
      </c>
    </row>
    <row r="58" spans="3:7" x14ac:dyDescent="0.35">
      <c r="D58" t="s">
        <v>153</v>
      </c>
      <c r="E58" s="77">
        <v>1</v>
      </c>
      <c r="F58" s="77">
        <v>90</v>
      </c>
      <c r="G58" s="77">
        <v>90</v>
      </c>
    </row>
    <row r="59" spans="3:7" x14ac:dyDescent="0.35">
      <c r="C59" t="s">
        <v>195</v>
      </c>
      <c r="D59" t="s">
        <v>196</v>
      </c>
      <c r="E59" s="77">
        <v>3</v>
      </c>
      <c r="F59" s="77">
        <v>297</v>
      </c>
      <c r="G59" s="77">
        <v>891</v>
      </c>
    </row>
    <row r="60" spans="3:7" x14ac:dyDescent="0.35">
      <c r="D60" t="s">
        <v>194</v>
      </c>
      <c r="E60" s="77">
        <v>20</v>
      </c>
      <c r="F60" s="77">
        <v>168</v>
      </c>
      <c r="G60" s="77">
        <v>3360</v>
      </c>
    </row>
    <row r="61" spans="3:7" x14ac:dyDescent="0.35">
      <c r="C61" t="s">
        <v>160</v>
      </c>
      <c r="D61" t="s">
        <v>19</v>
      </c>
      <c r="E61" s="77">
        <v>20</v>
      </c>
      <c r="F61" s="77">
        <v>77.5</v>
      </c>
      <c r="G61" s="77">
        <v>1550</v>
      </c>
    </row>
    <row r="62" spans="3:7" x14ac:dyDescent="0.35">
      <c r="C62" t="s">
        <v>79</v>
      </c>
      <c r="D62" t="s">
        <v>29</v>
      </c>
      <c r="E62" s="77">
        <v>5</v>
      </c>
      <c r="F62" s="77">
        <v>1155</v>
      </c>
      <c r="G62" s="77">
        <v>5775</v>
      </c>
    </row>
    <row r="63" spans="3:7" x14ac:dyDescent="0.35">
      <c r="C63" t="s">
        <v>80</v>
      </c>
      <c r="D63" t="s">
        <v>55</v>
      </c>
      <c r="E63" s="77">
        <v>2</v>
      </c>
      <c r="F63" s="77">
        <v>172</v>
      </c>
      <c r="G63" s="77">
        <v>344</v>
      </c>
    </row>
    <row r="64" spans="3:7" x14ac:dyDescent="0.35">
      <c r="C64" t="s">
        <v>331</v>
      </c>
      <c r="D64" t="s">
        <v>17</v>
      </c>
      <c r="E64" s="77">
        <v>4</v>
      </c>
      <c r="F64" s="77">
        <v>176</v>
      </c>
      <c r="G64" s="77">
        <v>704</v>
      </c>
    </row>
    <row r="65" spans="1:7" x14ac:dyDescent="0.35">
      <c r="C65" t="s">
        <v>422</v>
      </c>
      <c r="D65" t="s">
        <v>180</v>
      </c>
      <c r="E65" s="77">
        <v>4</v>
      </c>
      <c r="F65" s="77">
        <v>253.69</v>
      </c>
      <c r="G65" s="77">
        <v>1015.2</v>
      </c>
    </row>
    <row r="66" spans="1:7" x14ac:dyDescent="0.35">
      <c r="B66" s="79" t="s">
        <v>297</v>
      </c>
      <c r="C66" s="79"/>
      <c r="D66" s="79"/>
      <c r="E66" s="80">
        <v>509</v>
      </c>
      <c r="F66" s="80">
        <v>29908.239999999998</v>
      </c>
      <c r="G66" s="80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77">
        <v>1</v>
      </c>
      <c r="F67" s="77">
        <v>470</v>
      </c>
      <c r="G67" s="77">
        <v>470</v>
      </c>
    </row>
    <row r="68" spans="1:7" x14ac:dyDescent="0.35">
      <c r="B68" s="79" t="s">
        <v>417</v>
      </c>
      <c r="C68" s="79"/>
      <c r="D68" s="79"/>
      <c r="E68" s="80">
        <v>1</v>
      </c>
      <c r="F68" s="80">
        <v>470</v>
      </c>
      <c r="G68" s="80">
        <v>470</v>
      </c>
    </row>
    <row r="69" spans="1:7" x14ac:dyDescent="0.35">
      <c r="B69" t="s">
        <v>158</v>
      </c>
      <c r="C69" t="s">
        <v>341</v>
      </c>
      <c r="D69" t="s">
        <v>134</v>
      </c>
      <c r="E69" s="77">
        <v>1</v>
      </c>
      <c r="F69" s="77">
        <v>54</v>
      </c>
      <c r="G69" s="77">
        <v>54</v>
      </c>
    </row>
    <row r="70" spans="1:7" x14ac:dyDescent="0.35">
      <c r="B70" s="79" t="s">
        <v>414</v>
      </c>
      <c r="C70" s="79"/>
      <c r="D70" s="79"/>
      <c r="E70" s="80">
        <v>1</v>
      </c>
      <c r="F70" s="80">
        <v>54</v>
      </c>
      <c r="G70" s="80">
        <v>54</v>
      </c>
    </row>
    <row r="71" spans="1:7" x14ac:dyDescent="0.35">
      <c r="B71" t="s">
        <v>36</v>
      </c>
      <c r="C71" t="s">
        <v>108</v>
      </c>
      <c r="D71" t="s">
        <v>37</v>
      </c>
      <c r="E71" s="77">
        <v>1</v>
      </c>
      <c r="F71" s="77">
        <v>180</v>
      </c>
      <c r="G71" s="77">
        <v>180</v>
      </c>
    </row>
    <row r="72" spans="1:7" x14ac:dyDescent="0.35">
      <c r="C72" t="s">
        <v>109</v>
      </c>
      <c r="D72" t="s">
        <v>37</v>
      </c>
      <c r="E72" s="77">
        <v>2</v>
      </c>
      <c r="F72" s="77">
        <v>180</v>
      </c>
      <c r="G72" s="77">
        <v>360</v>
      </c>
    </row>
    <row r="73" spans="1:7" x14ac:dyDescent="0.35">
      <c r="C73" t="s">
        <v>110</v>
      </c>
      <c r="D73" t="s">
        <v>37</v>
      </c>
      <c r="E73" s="77">
        <v>6</v>
      </c>
      <c r="F73" s="77">
        <v>192</v>
      </c>
      <c r="G73" s="77">
        <v>1152</v>
      </c>
    </row>
    <row r="74" spans="1:7" x14ac:dyDescent="0.35">
      <c r="C74" t="s">
        <v>161</v>
      </c>
      <c r="D74" t="s">
        <v>37</v>
      </c>
      <c r="E74" s="77">
        <v>10</v>
      </c>
      <c r="F74" s="77">
        <v>212</v>
      </c>
      <c r="G74" s="77">
        <v>2120</v>
      </c>
    </row>
    <row r="75" spans="1:7" x14ac:dyDescent="0.35">
      <c r="C75" t="s">
        <v>236</v>
      </c>
      <c r="D75" t="s">
        <v>237</v>
      </c>
      <c r="E75" s="77">
        <v>4</v>
      </c>
      <c r="F75" s="77">
        <v>35</v>
      </c>
      <c r="G75" s="77">
        <v>140</v>
      </c>
    </row>
    <row r="76" spans="1:7" x14ac:dyDescent="0.35">
      <c r="B76" s="79" t="s">
        <v>418</v>
      </c>
      <c r="C76" s="79"/>
      <c r="D76" s="79"/>
      <c r="E76" s="80">
        <v>23</v>
      </c>
      <c r="F76" s="80">
        <v>799</v>
      </c>
      <c r="G76" s="80">
        <v>3952</v>
      </c>
    </row>
    <row r="77" spans="1:7" x14ac:dyDescent="0.35">
      <c r="A77" s="135" t="s">
        <v>504</v>
      </c>
      <c r="B77" s="135"/>
      <c r="C77" s="135"/>
      <c r="D77" s="135"/>
      <c r="E77" s="136">
        <v>534</v>
      </c>
      <c r="F77" s="136">
        <v>31231.239999999998</v>
      </c>
      <c r="G77" s="136">
        <v>200704.60000000003</v>
      </c>
    </row>
    <row r="78" spans="1:7" x14ac:dyDescent="0.35">
      <c r="A78">
        <v>2021</v>
      </c>
      <c r="B78" t="s">
        <v>10</v>
      </c>
      <c r="C78" t="s">
        <v>281</v>
      </c>
      <c r="D78" t="s">
        <v>194</v>
      </c>
      <c r="E78" s="77">
        <v>32</v>
      </c>
      <c r="F78" s="77">
        <v>186</v>
      </c>
      <c r="G78" s="77">
        <v>5952</v>
      </c>
    </row>
    <row r="79" spans="1:7" x14ac:dyDescent="0.35">
      <c r="C79" t="s">
        <v>279</v>
      </c>
      <c r="D79" t="s">
        <v>234</v>
      </c>
      <c r="E79" s="77">
        <v>1</v>
      </c>
      <c r="F79" s="77">
        <v>240</v>
      </c>
      <c r="G79" s="77">
        <v>240</v>
      </c>
    </row>
    <row r="80" spans="1:7" x14ac:dyDescent="0.35">
      <c r="D80" t="s">
        <v>233</v>
      </c>
      <c r="E80" s="77">
        <v>1</v>
      </c>
      <c r="F80" s="77">
        <v>290</v>
      </c>
      <c r="G80" s="77">
        <v>290</v>
      </c>
    </row>
    <row r="81" spans="3:7" x14ac:dyDescent="0.35">
      <c r="D81" t="s">
        <v>235</v>
      </c>
      <c r="E81" s="77">
        <v>1</v>
      </c>
      <c r="F81" s="77">
        <v>290</v>
      </c>
      <c r="G81" s="77">
        <v>290</v>
      </c>
    </row>
    <row r="82" spans="3:7" x14ac:dyDescent="0.35">
      <c r="D82" t="s">
        <v>229</v>
      </c>
      <c r="E82" s="77">
        <v>1</v>
      </c>
      <c r="F82" s="77">
        <v>110</v>
      </c>
      <c r="G82" s="77">
        <v>110</v>
      </c>
    </row>
    <row r="83" spans="3:7" x14ac:dyDescent="0.35">
      <c r="D83" t="s">
        <v>231</v>
      </c>
      <c r="E83" s="77">
        <v>1</v>
      </c>
      <c r="F83" s="77">
        <v>150</v>
      </c>
      <c r="G83" s="77">
        <v>150</v>
      </c>
    </row>
    <row r="84" spans="3:7" x14ac:dyDescent="0.35">
      <c r="D84" t="s">
        <v>232</v>
      </c>
      <c r="E84" s="77">
        <v>3</v>
      </c>
      <c r="F84" s="77">
        <v>38</v>
      </c>
      <c r="G84" s="77">
        <v>114</v>
      </c>
    </row>
    <row r="85" spans="3:7" x14ac:dyDescent="0.35">
      <c r="D85" t="s">
        <v>214</v>
      </c>
      <c r="E85" s="77">
        <v>2</v>
      </c>
      <c r="F85" s="77">
        <v>2600</v>
      </c>
      <c r="G85" s="77">
        <v>5200</v>
      </c>
    </row>
    <row r="86" spans="3:7" x14ac:dyDescent="0.35">
      <c r="C86" t="s">
        <v>278</v>
      </c>
      <c r="D86" t="s">
        <v>213</v>
      </c>
      <c r="E86" s="77">
        <v>2</v>
      </c>
      <c r="F86" s="77">
        <v>594</v>
      </c>
      <c r="G86" s="77">
        <v>1188</v>
      </c>
    </row>
    <row r="87" spans="3:7" x14ac:dyDescent="0.35">
      <c r="C87" t="s">
        <v>280</v>
      </c>
      <c r="D87" t="s">
        <v>239</v>
      </c>
      <c r="E87" s="77">
        <v>1</v>
      </c>
      <c r="F87" s="77">
        <v>39</v>
      </c>
      <c r="G87" s="77">
        <v>39</v>
      </c>
    </row>
    <row r="88" spans="3:7" x14ac:dyDescent="0.35">
      <c r="D88" t="s">
        <v>240</v>
      </c>
      <c r="E88" s="77">
        <v>16</v>
      </c>
      <c r="F88" s="77">
        <v>120</v>
      </c>
      <c r="G88" s="77">
        <v>120</v>
      </c>
    </row>
    <row r="89" spans="3:7" x14ac:dyDescent="0.35">
      <c r="C89" t="s">
        <v>282</v>
      </c>
      <c r="D89" t="s">
        <v>246</v>
      </c>
      <c r="E89" s="77">
        <v>12</v>
      </c>
      <c r="F89" s="77">
        <v>28</v>
      </c>
      <c r="G89" s="77">
        <v>336</v>
      </c>
    </row>
    <row r="90" spans="3:7" x14ac:dyDescent="0.35">
      <c r="D90" t="s">
        <v>229</v>
      </c>
      <c r="E90" s="77">
        <v>1</v>
      </c>
      <c r="F90" s="77">
        <v>110</v>
      </c>
      <c r="G90" s="77">
        <v>110</v>
      </c>
    </row>
    <row r="91" spans="3:7" x14ac:dyDescent="0.35">
      <c r="C91" t="s">
        <v>283</v>
      </c>
      <c r="D91" t="s">
        <v>235</v>
      </c>
      <c r="E91" s="77">
        <v>1</v>
      </c>
      <c r="F91" s="77">
        <v>290</v>
      </c>
      <c r="G91" s="77">
        <v>290</v>
      </c>
    </row>
    <row r="92" spans="3:7" x14ac:dyDescent="0.35">
      <c r="C92" t="s">
        <v>291</v>
      </c>
      <c r="D92" t="s">
        <v>19</v>
      </c>
      <c r="E92" s="77">
        <v>20</v>
      </c>
      <c r="F92" s="77">
        <v>80</v>
      </c>
      <c r="G92" s="77">
        <v>1600</v>
      </c>
    </row>
    <row r="93" spans="3:7" x14ac:dyDescent="0.35">
      <c r="D93" t="s">
        <v>29</v>
      </c>
      <c r="E93" s="77">
        <v>5</v>
      </c>
      <c r="F93" s="77">
        <v>1408</v>
      </c>
      <c r="G93" s="77">
        <v>7040</v>
      </c>
    </row>
    <row r="94" spans="3:7" x14ac:dyDescent="0.35">
      <c r="D94" t="s">
        <v>64</v>
      </c>
      <c r="E94" s="77">
        <v>5</v>
      </c>
      <c r="F94" s="77">
        <v>1408</v>
      </c>
      <c r="G94" s="77">
        <v>7040</v>
      </c>
    </row>
    <row r="95" spans="3:7" x14ac:dyDescent="0.35">
      <c r="D95" t="s">
        <v>28</v>
      </c>
      <c r="E95" s="77">
        <v>40</v>
      </c>
      <c r="F95" s="77">
        <v>30</v>
      </c>
      <c r="G95" s="77">
        <v>1200</v>
      </c>
    </row>
    <row r="96" spans="3:7" x14ac:dyDescent="0.35">
      <c r="D96" t="s">
        <v>423</v>
      </c>
      <c r="E96" s="77">
        <v>1</v>
      </c>
      <c r="F96" s="77">
        <v>55</v>
      </c>
      <c r="G96" s="77">
        <v>55</v>
      </c>
    </row>
    <row r="97" spans="3:7" x14ac:dyDescent="0.35">
      <c r="C97" t="s">
        <v>292</v>
      </c>
      <c r="D97" t="s">
        <v>194</v>
      </c>
      <c r="E97" s="77">
        <v>20</v>
      </c>
      <c r="F97" s="77">
        <v>192</v>
      </c>
      <c r="G97" s="77">
        <v>3840</v>
      </c>
    </row>
    <row r="98" spans="3:7" x14ac:dyDescent="0.35">
      <c r="D98" t="s">
        <v>246</v>
      </c>
      <c r="E98" s="77">
        <v>12</v>
      </c>
      <c r="F98" s="77">
        <v>28</v>
      </c>
      <c r="G98" s="77">
        <v>336</v>
      </c>
    </row>
    <row r="99" spans="3:7" x14ac:dyDescent="0.35">
      <c r="D99" t="s">
        <v>257</v>
      </c>
      <c r="E99" s="77">
        <v>1</v>
      </c>
      <c r="F99" s="77">
        <v>90</v>
      </c>
      <c r="G99" s="77">
        <v>90</v>
      </c>
    </row>
    <row r="100" spans="3:7" x14ac:dyDescent="0.35">
      <c r="C100" t="s">
        <v>284</v>
      </c>
      <c r="D100" t="s">
        <v>229</v>
      </c>
      <c r="E100" s="77">
        <v>1</v>
      </c>
      <c r="F100" s="77">
        <v>110</v>
      </c>
      <c r="G100" s="77">
        <v>110</v>
      </c>
    </row>
    <row r="101" spans="3:7" x14ac:dyDescent="0.35">
      <c r="C101" t="s">
        <v>285</v>
      </c>
      <c r="D101" t="s">
        <v>234</v>
      </c>
      <c r="E101" s="77">
        <v>1</v>
      </c>
      <c r="F101" s="77">
        <v>240</v>
      </c>
      <c r="G101" s="77">
        <v>240</v>
      </c>
    </row>
    <row r="102" spans="3:7" x14ac:dyDescent="0.35">
      <c r="C102" t="s">
        <v>341</v>
      </c>
      <c r="D102" t="s">
        <v>233</v>
      </c>
      <c r="E102" s="77">
        <v>2</v>
      </c>
      <c r="F102" s="77">
        <v>290</v>
      </c>
      <c r="G102" s="77">
        <v>580</v>
      </c>
    </row>
    <row r="103" spans="3:7" x14ac:dyDescent="0.35">
      <c r="D103" t="s">
        <v>19</v>
      </c>
      <c r="E103" s="77">
        <v>12</v>
      </c>
      <c r="F103" s="77">
        <v>82.5</v>
      </c>
      <c r="G103" s="77">
        <v>990</v>
      </c>
    </row>
    <row r="104" spans="3:7" x14ac:dyDescent="0.35">
      <c r="D104" t="s">
        <v>29</v>
      </c>
      <c r="E104" s="77">
        <v>12</v>
      </c>
      <c r="F104" s="77">
        <v>1617</v>
      </c>
      <c r="G104" s="77">
        <v>19404</v>
      </c>
    </row>
    <row r="105" spans="3:7" x14ac:dyDescent="0.35">
      <c r="D105" t="s">
        <v>64</v>
      </c>
      <c r="E105" s="77">
        <v>10</v>
      </c>
      <c r="F105" s="77">
        <v>1650</v>
      </c>
      <c r="G105" s="77">
        <v>16500</v>
      </c>
    </row>
    <row r="106" spans="3:7" x14ac:dyDescent="0.35">
      <c r="D106" t="s">
        <v>386</v>
      </c>
      <c r="E106" s="77">
        <v>32</v>
      </c>
      <c r="F106" s="77">
        <v>281.2</v>
      </c>
      <c r="G106" s="77">
        <v>8998.4</v>
      </c>
    </row>
    <row r="107" spans="3:7" x14ac:dyDescent="0.35">
      <c r="D107" t="s">
        <v>423</v>
      </c>
      <c r="E107" s="77">
        <v>28</v>
      </c>
      <c r="F107" s="77">
        <v>125</v>
      </c>
      <c r="G107" s="77">
        <v>1760</v>
      </c>
    </row>
    <row r="108" spans="3:7" x14ac:dyDescent="0.35">
      <c r="D108" t="s">
        <v>461</v>
      </c>
      <c r="E108" s="77">
        <v>20</v>
      </c>
      <c r="F108" s="77">
        <v>288</v>
      </c>
      <c r="G108" s="77">
        <v>5760</v>
      </c>
    </row>
    <row r="109" spans="3:7" x14ac:dyDescent="0.35">
      <c r="C109" t="s">
        <v>311</v>
      </c>
      <c r="D109" t="s">
        <v>16</v>
      </c>
      <c r="E109" s="77">
        <v>11</v>
      </c>
      <c r="F109" s="77">
        <v>198</v>
      </c>
      <c r="G109" s="77">
        <v>2178</v>
      </c>
    </row>
    <row r="110" spans="3:7" x14ac:dyDescent="0.35">
      <c r="D110" t="s">
        <v>29</v>
      </c>
      <c r="E110" s="77">
        <v>10</v>
      </c>
      <c r="F110" s="77">
        <v>1408</v>
      </c>
      <c r="G110" s="77">
        <v>14080</v>
      </c>
    </row>
    <row r="111" spans="3:7" x14ac:dyDescent="0.35">
      <c r="C111" t="s">
        <v>312</v>
      </c>
      <c r="D111" t="s">
        <v>29</v>
      </c>
      <c r="E111" s="77">
        <v>10</v>
      </c>
      <c r="F111" s="77">
        <v>1408</v>
      </c>
      <c r="G111" s="77">
        <v>14080</v>
      </c>
    </row>
    <row r="112" spans="3:7" x14ac:dyDescent="0.35">
      <c r="C112" t="s">
        <v>332</v>
      </c>
      <c r="D112" t="s">
        <v>229</v>
      </c>
      <c r="E112" s="77">
        <v>2</v>
      </c>
      <c r="F112" s="77">
        <v>110</v>
      </c>
      <c r="G112" s="77">
        <v>220</v>
      </c>
    </row>
    <row r="113" spans="3:7" x14ac:dyDescent="0.35">
      <c r="C113" t="s">
        <v>333</v>
      </c>
      <c r="D113" t="s">
        <v>19</v>
      </c>
      <c r="E113" s="77">
        <v>16</v>
      </c>
      <c r="F113" s="77">
        <v>80</v>
      </c>
      <c r="G113" s="77">
        <v>1280</v>
      </c>
    </row>
    <row r="114" spans="3:7" x14ac:dyDescent="0.35">
      <c r="D114" t="s">
        <v>423</v>
      </c>
      <c r="E114" s="77">
        <v>8</v>
      </c>
      <c r="F114" s="77">
        <v>60</v>
      </c>
      <c r="G114" s="77">
        <v>480</v>
      </c>
    </row>
    <row r="115" spans="3:7" x14ac:dyDescent="0.35">
      <c r="C115" t="s">
        <v>336</v>
      </c>
      <c r="D115" t="s">
        <v>180</v>
      </c>
      <c r="E115" s="77">
        <v>16</v>
      </c>
      <c r="F115" s="77">
        <v>394.2</v>
      </c>
      <c r="G115" s="77">
        <v>6307.2</v>
      </c>
    </row>
    <row r="116" spans="3:7" x14ac:dyDescent="0.35">
      <c r="C116" t="s">
        <v>335</v>
      </c>
      <c r="D116" t="s">
        <v>194</v>
      </c>
      <c r="E116" s="77">
        <v>5</v>
      </c>
      <c r="F116" s="77">
        <v>219</v>
      </c>
      <c r="G116" s="77">
        <v>1095</v>
      </c>
    </row>
    <row r="117" spans="3:7" x14ac:dyDescent="0.35">
      <c r="C117" t="s">
        <v>337</v>
      </c>
      <c r="D117" t="s">
        <v>340</v>
      </c>
      <c r="E117" s="77">
        <v>2</v>
      </c>
      <c r="F117" s="77">
        <v>1620</v>
      </c>
      <c r="G117" s="77">
        <v>3240</v>
      </c>
    </row>
    <row r="118" spans="3:7" x14ac:dyDescent="0.35">
      <c r="C118" t="s">
        <v>377</v>
      </c>
      <c r="D118" t="s">
        <v>29</v>
      </c>
      <c r="E118" s="77">
        <v>5</v>
      </c>
      <c r="F118" s="77">
        <v>1650</v>
      </c>
      <c r="G118" s="77">
        <v>8250</v>
      </c>
    </row>
    <row r="119" spans="3:7" x14ac:dyDescent="0.35">
      <c r="C119" t="s">
        <v>378</v>
      </c>
      <c r="D119" t="s">
        <v>17</v>
      </c>
      <c r="E119" s="77">
        <v>2</v>
      </c>
      <c r="F119" s="77">
        <v>230</v>
      </c>
      <c r="G119" s="77">
        <v>460</v>
      </c>
    </row>
    <row r="120" spans="3:7" x14ac:dyDescent="0.35">
      <c r="D120" t="s">
        <v>29</v>
      </c>
      <c r="E120" s="77">
        <v>10</v>
      </c>
      <c r="F120" s="77">
        <v>1650</v>
      </c>
      <c r="G120" s="77">
        <v>16500</v>
      </c>
    </row>
    <row r="121" spans="3:7" x14ac:dyDescent="0.35">
      <c r="C121" t="s">
        <v>379</v>
      </c>
      <c r="D121" t="s">
        <v>16</v>
      </c>
      <c r="E121" s="77">
        <v>5</v>
      </c>
      <c r="F121" s="77">
        <v>222</v>
      </c>
      <c r="G121" s="77">
        <v>1110</v>
      </c>
    </row>
    <row r="122" spans="3:7" x14ac:dyDescent="0.35">
      <c r="C122" t="s">
        <v>380</v>
      </c>
      <c r="D122" t="s">
        <v>233</v>
      </c>
      <c r="E122" s="77">
        <v>2</v>
      </c>
      <c r="F122" s="77">
        <v>290</v>
      </c>
      <c r="G122" s="77">
        <v>580</v>
      </c>
    </row>
    <row r="123" spans="3:7" x14ac:dyDescent="0.35">
      <c r="C123" t="s">
        <v>381</v>
      </c>
      <c r="D123" t="s">
        <v>29</v>
      </c>
      <c r="E123" s="77">
        <v>6</v>
      </c>
      <c r="F123" s="77">
        <v>1650</v>
      </c>
      <c r="G123" s="77">
        <v>9900</v>
      </c>
    </row>
    <row r="124" spans="3:7" x14ac:dyDescent="0.35">
      <c r="D124" t="s">
        <v>28</v>
      </c>
      <c r="E124" s="77">
        <v>80</v>
      </c>
      <c r="F124" s="77">
        <v>30</v>
      </c>
      <c r="G124" s="77">
        <v>2400</v>
      </c>
    </row>
    <row r="125" spans="3:7" x14ac:dyDescent="0.35">
      <c r="C125" t="s">
        <v>400</v>
      </c>
      <c r="D125" t="s">
        <v>233</v>
      </c>
      <c r="E125" s="77">
        <v>2</v>
      </c>
      <c r="F125" s="77">
        <v>290</v>
      </c>
      <c r="G125" s="77">
        <v>580</v>
      </c>
    </row>
    <row r="126" spans="3:7" x14ac:dyDescent="0.35">
      <c r="D126" t="s">
        <v>19</v>
      </c>
      <c r="E126" s="77">
        <v>12</v>
      </c>
      <c r="F126" s="77">
        <v>80</v>
      </c>
      <c r="G126" s="77">
        <v>960</v>
      </c>
    </row>
    <row r="127" spans="3:7" x14ac:dyDescent="0.35">
      <c r="D127" t="s">
        <v>29</v>
      </c>
      <c r="E127" s="77">
        <v>20</v>
      </c>
      <c r="F127" s="77">
        <v>1650</v>
      </c>
      <c r="G127" s="77">
        <v>33000</v>
      </c>
    </row>
    <row r="128" spans="3:7" x14ac:dyDescent="0.35">
      <c r="C128" t="s">
        <v>401</v>
      </c>
      <c r="D128" t="s">
        <v>386</v>
      </c>
      <c r="E128" s="77">
        <v>16</v>
      </c>
      <c r="F128" s="77">
        <v>284.89999999999998</v>
      </c>
      <c r="G128" s="77">
        <v>4558.3999999999996</v>
      </c>
    </row>
    <row r="129" spans="2:7" x14ac:dyDescent="0.35">
      <c r="D129" t="s">
        <v>389</v>
      </c>
      <c r="E129" s="77">
        <v>16</v>
      </c>
      <c r="F129" s="77">
        <v>462</v>
      </c>
      <c r="G129" s="77">
        <v>7392</v>
      </c>
    </row>
    <row r="130" spans="2:7" x14ac:dyDescent="0.35">
      <c r="C130" t="s">
        <v>402</v>
      </c>
      <c r="D130" t="s">
        <v>31</v>
      </c>
      <c r="E130" s="77">
        <v>4</v>
      </c>
      <c r="F130" s="77">
        <v>1650</v>
      </c>
      <c r="G130" s="77">
        <v>6600</v>
      </c>
    </row>
    <row r="131" spans="2:7" x14ac:dyDescent="0.35">
      <c r="D131" t="s">
        <v>64</v>
      </c>
      <c r="E131" s="77">
        <v>10</v>
      </c>
      <c r="F131" s="77">
        <v>1727</v>
      </c>
      <c r="G131" s="77">
        <v>17270</v>
      </c>
    </row>
    <row r="132" spans="2:7" x14ac:dyDescent="0.35">
      <c r="C132" t="s">
        <v>459</v>
      </c>
      <c r="D132" t="s">
        <v>386</v>
      </c>
      <c r="E132" s="77">
        <v>25</v>
      </c>
      <c r="F132" s="77">
        <v>281.2</v>
      </c>
      <c r="G132" s="77">
        <v>7030</v>
      </c>
    </row>
    <row r="133" spans="2:7" x14ac:dyDescent="0.35">
      <c r="C133" t="s">
        <v>460</v>
      </c>
      <c r="D133" t="s">
        <v>28</v>
      </c>
      <c r="E133" s="77">
        <v>2</v>
      </c>
      <c r="F133" s="77">
        <v>30</v>
      </c>
      <c r="G133" s="77">
        <v>60</v>
      </c>
    </row>
    <row r="134" spans="2:7" x14ac:dyDescent="0.35">
      <c r="D134" t="s">
        <v>386</v>
      </c>
      <c r="E134" s="77">
        <v>10</v>
      </c>
      <c r="F134" s="77">
        <v>307.10000000000002</v>
      </c>
      <c r="G134" s="77">
        <v>3071</v>
      </c>
    </row>
    <row r="135" spans="2:7" x14ac:dyDescent="0.35">
      <c r="D135" t="s">
        <v>423</v>
      </c>
      <c r="E135" s="77">
        <v>4</v>
      </c>
      <c r="F135" s="77">
        <v>60</v>
      </c>
      <c r="G135" s="77">
        <v>240</v>
      </c>
    </row>
    <row r="136" spans="2:7" x14ac:dyDescent="0.35">
      <c r="D136" t="s">
        <v>462</v>
      </c>
      <c r="E136" s="77">
        <v>4</v>
      </c>
      <c r="F136" s="77">
        <v>1676.25</v>
      </c>
      <c r="G136" s="77">
        <v>6705</v>
      </c>
    </row>
    <row r="137" spans="2:7" x14ac:dyDescent="0.35">
      <c r="D137" t="s">
        <v>461</v>
      </c>
      <c r="E137" s="77">
        <v>4</v>
      </c>
      <c r="F137" s="77">
        <v>288</v>
      </c>
      <c r="G137" s="77">
        <v>1152</v>
      </c>
    </row>
    <row r="138" spans="2:7" x14ac:dyDescent="0.35">
      <c r="C138" t="s">
        <v>475</v>
      </c>
      <c r="D138" t="s">
        <v>477</v>
      </c>
      <c r="E138" s="77">
        <v>3</v>
      </c>
      <c r="F138" s="77">
        <v>500</v>
      </c>
      <c r="G138" s="77">
        <v>1500</v>
      </c>
    </row>
    <row r="139" spans="2:7" x14ac:dyDescent="0.35">
      <c r="C139" t="s">
        <v>476</v>
      </c>
      <c r="D139" t="s">
        <v>386</v>
      </c>
      <c r="E139" s="77">
        <v>2</v>
      </c>
      <c r="F139" s="77">
        <v>307.10000000000002</v>
      </c>
      <c r="G139" s="77">
        <v>614.20000000000005</v>
      </c>
    </row>
    <row r="140" spans="2:7" x14ac:dyDescent="0.35">
      <c r="D140" t="s">
        <v>461</v>
      </c>
      <c r="E140" s="77">
        <v>2</v>
      </c>
      <c r="F140" s="77">
        <v>288</v>
      </c>
      <c r="G140" s="77">
        <v>576</v>
      </c>
    </row>
    <row r="141" spans="2:7" x14ac:dyDescent="0.35">
      <c r="B141" s="79" t="s">
        <v>297</v>
      </c>
      <c r="C141" s="79"/>
      <c r="D141" s="79"/>
      <c r="E141" s="80">
        <v>623</v>
      </c>
      <c r="F141" s="80">
        <v>34160.450000000004</v>
      </c>
      <c r="G141" s="80">
        <v>263441.2</v>
      </c>
    </row>
    <row r="142" spans="2:7" x14ac:dyDescent="0.35">
      <c r="B142" t="s">
        <v>158</v>
      </c>
      <c r="C142" t="s">
        <v>341</v>
      </c>
      <c r="D142" t="s">
        <v>273</v>
      </c>
      <c r="E142" s="77">
        <v>3</v>
      </c>
      <c r="F142" s="77">
        <v>54</v>
      </c>
      <c r="G142" s="77">
        <v>162</v>
      </c>
    </row>
    <row r="143" spans="2:7" x14ac:dyDescent="0.35">
      <c r="D143" t="s">
        <v>376</v>
      </c>
      <c r="E143" s="77">
        <v>1</v>
      </c>
      <c r="F143" s="77">
        <v>28.8</v>
      </c>
      <c r="G143" s="77">
        <v>28.8</v>
      </c>
    </row>
    <row r="144" spans="2:7" x14ac:dyDescent="0.35">
      <c r="D144" t="s">
        <v>384</v>
      </c>
      <c r="E144" s="77">
        <v>1</v>
      </c>
      <c r="F144" s="77">
        <v>38</v>
      </c>
      <c r="G144" s="77">
        <v>38</v>
      </c>
    </row>
    <row r="145" spans="2:7" x14ac:dyDescent="0.35">
      <c r="B145" s="79" t="s">
        <v>414</v>
      </c>
      <c r="C145" s="79"/>
      <c r="D145" s="79"/>
      <c r="E145" s="80">
        <v>5</v>
      </c>
      <c r="F145" s="80">
        <v>120.8</v>
      </c>
      <c r="G145" s="80">
        <v>228.8</v>
      </c>
    </row>
    <row r="146" spans="2:7" x14ac:dyDescent="0.35">
      <c r="B146" t="s">
        <v>313</v>
      </c>
      <c r="C146">
        <v>18634</v>
      </c>
      <c r="D146" t="s">
        <v>323</v>
      </c>
      <c r="E146" s="77">
        <v>20</v>
      </c>
      <c r="F146" s="77">
        <v>42</v>
      </c>
      <c r="G146" s="77">
        <v>840</v>
      </c>
    </row>
    <row r="147" spans="2:7" x14ac:dyDescent="0.35">
      <c r="C147">
        <v>18674</v>
      </c>
      <c r="D147" t="s">
        <v>316</v>
      </c>
      <c r="E147" s="77">
        <v>2</v>
      </c>
      <c r="F147" s="77">
        <v>50</v>
      </c>
      <c r="G147" s="77">
        <v>100</v>
      </c>
    </row>
    <row r="148" spans="2:7" x14ac:dyDescent="0.35">
      <c r="D148" t="s">
        <v>317</v>
      </c>
      <c r="E148" s="77">
        <v>2</v>
      </c>
      <c r="F148" s="77">
        <v>50</v>
      </c>
      <c r="G148" s="77">
        <v>100</v>
      </c>
    </row>
    <row r="149" spans="2:7" x14ac:dyDescent="0.35">
      <c r="B149" s="79" t="s">
        <v>415</v>
      </c>
      <c r="C149" s="79"/>
      <c r="D149" s="79"/>
      <c r="E149" s="80">
        <v>24</v>
      </c>
      <c r="F149" s="80">
        <v>142</v>
      </c>
      <c r="G149" s="80">
        <v>1040</v>
      </c>
    </row>
    <row r="150" spans="2:7" x14ac:dyDescent="0.35">
      <c r="B150" t="s">
        <v>341</v>
      </c>
      <c r="C150" t="s">
        <v>314</v>
      </c>
      <c r="D150" t="s">
        <v>16</v>
      </c>
      <c r="E150" s="77">
        <v>5</v>
      </c>
      <c r="F150" s="77">
        <v>210</v>
      </c>
      <c r="G150" s="77">
        <v>1050</v>
      </c>
    </row>
    <row r="151" spans="2:7" x14ac:dyDescent="0.35">
      <c r="B151" s="79" t="s">
        <v>342</v>
      </c>
      <c r="C151" s="79"/>
      <c r="D151" s="79"/>
      <c r="E151" s="80">
        <v>5</v>
      </c>
      <c r="F151" s="80">
        <v>210</v>
      </c>
      <c r="G151" s="80">
        <v>1050</v>
      </c>
    </row>
    <row r="152" spans="2:7" x14ac:dyDescent="0.35">
      <c r="B152" t="s">
        <v>310</v>
      </c>
      <c r="C152" t="s">
        <v>315</v>
      </c>
      <c r="D152" t="s">
        <v>319</v>
      </c>
      <c r="E152" s="77">
        <v>4</v>
      </c>
      <c r="F152" s="77">
        <v>305</v>
      </c>
      <c r="G152" s="77">
        <v>1220</v>
      </c>
    </row>
    <row r="153" spans="2:7" x14ac:dyDescent="0.35">
      <c r="C153" t="s">
        <v>534</v>
      </c>
      <c r="D153" t="s">
        <v>319</v>
      </c>
      <c r="E153" s="77">
        <v>4</v>
      </c>
      <c r="F153" s="77">
        <v>305</v>
      </c>
      <c r="G153" s="77">
        <v>1220</v>
      </c>
    </row>
    <row r="154" spans="2:7" x14ac:dyDescent="0.35">
      <c r="B154" s="79" t="s">
        <v>416</v>
      </c>
      <c r="C154" s="79"/>
      <c r="D154" s="79"/>
      <c r="E154" s="80">
        <v>8</v>
      </c>
      <c r="F154" s="80">
        <v>610</v>
      </c>
      <c r="G154" s="80">
        <v>2440</v>
      </c>
    </row>
    <row r="155" spans="2:7" x14ac:dyDescent="0.35">
      <c r="B155" t="s">
        <v>345</v>
      </c>
      <c r="C155" t="s">
        <v>358</v>
      </c>
      <c r="D155" t="s">
        <v>363</v>
      </c>
      <c r="E155" s="77">
        <v>6</v>
      </c>
      <c r="F155" s="77">
        <v>1672</v>
      </c>
      <c r="G155" s="77">
        <v>10032</v>
      </c>
    </row>
    <row r="156" spans="2:7" x14ac:dyDescent="0.35">
      <c r="D156" t="s">
        <v>364</v>
      </c>
      <c r="E156" s="77">
        <v>2</v>
      </c>
      <c r="F156" s="77">
        <v>1672</v>
      </c>
      <c r="G156" s="77">
        <v>3344</v>
      </c>
    </row>
    <row r="157" spans="2:7" x14ac:dyDescent="0.35">
      <c r="C157" t="s">
        <v>359</v>
      </c>
      <c r="D157" t="s">
        <v>365</v>
      </c>
      <c r="E157" s="77">
        <v>2</v>
      </c>
      <c r="F157" s="77">
        <v>1628</v>
      </c>
      <c r="G157" s="77">
        <v>3256</v>
      </c>
    </row>
    <row r="158" spans="2:7" x14ac:dyDescent="0.35">
      <c r="C158" t="s">
        <v>403</v>
      </c>
      <c r="D158" t="s">
        <v>363</v>
      </c>
      <c r="E158" s="77">
        <v>3</v>
      </c>
      <c r="F158" s="77">
        <v>1683</v>
      </c>
      <c r="G158" s="77">
        <v>5049</v>
      </c>
    </row>
    <row r="159" spans="2:7" x14ac:dyDescent="0.35">
      <c r="B159" s="79" t="s">
        <v>419</v>
      </c>
      <c r="C159" s="79"/>
      <c r="D159" s="79"/>
      <c r="E159" s="80">
        <v>13</v>
      </c>
      <c r="F159" s="80">
        <v>6655</v>
      </c>
      <c r="G159" s="80">
        <v>21681</v>
      </c>
    </row>
    <row r="160" spans="2:7" x14ac:dyDescent="0.35">
      <c r="B160" t="s">
        <v>354</v>
      </c>
      <c r="C160" t="s">
        <v>341</v>
      </c>
      <c r="D160" t="s">
        <v>366</v>
      </c>
      <c r="E160" s="77">
        <v>10</v>
      </c>
      <c r="F160" s="77">
        <v>432</v>
      </c>
      <c r="G160" s="77">
        <v>4320</v>
      </c>
    </row>
    <row r="161" spans="2:7" x14ac:dyDescent="0.35">
      <c r="D161" t="s">
        <v>527</v>
      </c>
      <c r="E161" s="77">
        <v>5</v>
      </c>
      <c r="F161" s="77">
        <v>1749</v>
      </c>
      <c r="G161" s="77">
        <v>8745</v>
      </c>
    </row>
    <row r="162" spans="2:7" x14ac:dyDescent="0.35">
      <c r="C162" t="s">
        <v>355</v>
      </c>
      <c r="D162" t="s">
        <v>366</v>
      </c>
      <c r="E162" s="77">
        <v>10</v>
      </c>
      <c r="F162" s="77">
        <v>405</v>
      </c>
      <c r="G162" s="77">
        <v>4050</v>
      </c>
    </row>
    <row r="163" spans="2:7" x14ac:dyDescent="0.35">
      <c r="B163" s="79" t="s">
        <v>420</v>
      </c>
      <c r="C163" s="79"/>
      <c r="D163" s="79"/>
      <c r="E163" s="80">
        <v>25</v>
      </c>
      <c r="F163" s="80">
        <v>2586</v>
      </c>
      <c r="G163" s="80">
        <v>17115</v>
      </c>
    </row>
    <row r="164" spans="2:7" x14ac:dyDescent="0.35">
      <c r="B164" t="s">
        <v>369</v>
      </c>
      <c r="C164">
        <v>13101</v>
      </c>
      <c r="D164" t="s">
        <v>370</v>
      </c>
      <c r="E164" s="77">
        <v>2</v>
      </c>
      <c r="F164" s="77">
        <v>320</v>
      </c>
      <c r="G164" s="77">
        <v>640</v>
      </c>
    </row>
    <row r="165" spans="2:7" x14ac:dyDescent="0.35">
      <c r="B165" s="79" t="s">
        <v>421</v>
      </c>
      <c r="C165" s="79"/>
      <c r="D165" s="79"/>
      <c r="E165" s="80">
        <v>2</v>
      </c>
      <c r="F165" s="80">
        <v>320</v>
      </c>
      <c r="G165" s="80">
        <v>640</v>
      </c>
    </row>
    <row r="166" spans="2:7" x14ac:dyDescent="0.35">
      <c r="B166" t="s">
        <v>450</v>
      </c>
      <c r="C166" t="s">
        <v>463</v>
      </c>
      <c r="D166" t="s">
        <v>452</v>
      </c>
      <c r="E166" s="77">
        <v>1</v>
      </c>
      <c r="F166" s="77">
        <v>800</v>
      </c>
      <c r="G166" s="77">
        <v>800</v>
      </c>
    </row>
    <row r="167" spans="2:7" x14ac:dyDescent="0.35">
      <c r="B167" s="79" t="s">
        <v>481</v>
      </c>
      <c r="C167" s="79"/>
      <c r="D167" s="79"/>
      <c r="E167" s="80">
        <v>1</v>
      </c>
      <c r="F167" s="80">
        <v>800</v>
      </c>
      <c r="G167" s="80">
        <v>800</v>
      </c>
    </row>
    <row r="168" spans="2:7" x14ac:dyDescent="0.35">
      <c r="B168" t="s">
        <v>455</v>
      </c>
      <c r="C168" t="s">
        <v>341</v>
      </c>
      <c r="D168" t="s">
        <v>457</v>
      </c>
      <c r="E168" s="77">
        <v>4</v>
      </c>
      <c r="F168" s="77">
        <v>1760</v>
      </c>
      <c r="G168" s="77">
        <v>7040</v>
      </c>
    </row>
    <row r="169" spans="2:7" x14ac:dyDescent="0.35">
      <c r="D169" t="s">
        <v>456</v>
      </c>
      <c r="E169" s="77">
        <v>10</v>
      </c>
      <c r="F169" s="77">
        <v>468</v>
      </c>
      <c r="G169" s="77">
        <v>4680</v>
      </c>
    </row>
    <row r="170" spans="2:7" x14ac:dyDescent="0.35">
      <c r="D170" t="s">
        <v>458</v>
      </c>
      <c r="E170" s="77">
        <v>12</v>
      </c>
      <c r="F170" s="77">
        <v>40</v>
      </c>
      <c r="G170" s="77">
        <v>480</v>
      </c>
    </row>
    <row r="171" spans="2:7" x14ac:dyDescent="0.35">
      <c r="C171" t="s">
        <v>528</v>
      </c>
      <c r="D171" t="s">
        <v>457</v>
      </c>
      <c r="E171" s="77">
        <v>5</v>
      </c>
      <c r="F171" s="77">
        <v>1760</v>
      </c>
      <c r="G171" s="77">
        <v>8800</v>
      </c>
    </row>
    <row r="172" spans="2:7" x14ac:dyDescent="0.35">
      <c r="D172" t="s">
        <v>488</v>
      </c>
      <c r="E172" s="77">
        <v>9</v>
      </c>
      <c r="F172" s="77">
        <v>270</v>
      </c>
      <c r="G172" s="77">
        <v>2430</v>
      </c>
    </row>
    <row r="173" spans="2:7" x14ac:dyDescent="0.35">
      <c r="D173" t="s">
        <v>529</v>
      </c>
      <c r="E173" s="77">
        <v>10</v>
      </c>
      <c r="F173" s="77">
        <v>1760</v>
      </c>
      <c r="G173" s="77">
        <v>17600</v>
      </c>
    </row>
    <row r="174" spans="2:7" x14ac:dyDescent="0.35">
      <c r="B174" s="79" t="s">
        <v>480</v>
      </c>
      <c r="C174" s="79"/>
      <c r="D174" s="79"/>
      <c r="E174" s="80">
        <v>50</v>
      </c>
      <c r="F174" s="80">
        <v>6058</v>
      </c>
      <c r="G174" s="80">
        <v>41030</v>
      </c>
    </row>
    <row r="175" spans="2:7" x14ac:dyDescent="0.35">
      <c r="B175" t="s">
        <v>491</v>
      </c>
      <c r="C175" t="s">
        <v>341</v>
      </c>
      <c r="D175" t="s">
        <v>492</v>
      </c>
      <c r="E175" s="77">
        <v>12</v>
      </c>
      <c r="F175" s="77">
        <v>700</v>
      </c>
      <c r="G175" s="77">
        <v>8400</v>
      </c>
    </row>
    <row r="176" spans="2:7" x14ac:dyDescent="0.35">
      <c r="B176" s="79" t="s">
        <v>502</v>
      </c>
      <c r="C176" s="79"/>
      <c r="D176" s="79"/>
      <c r="E176" s="80">
        <v>12</v>
      </c>
      <c r="F176" s="80">
        <v>700</v>
      </c>
      <c r="G176" s="80">
        <v>8400</v>
      </c>
    </row>
    <row r="177" spans="1:7" x14ac:dyDescent="0.35">
      <c r="A177" s="135" t="s">
        <v>505</v>
      </c>
      <c r="B177" s="135"/>
      <c r="C177" s="135"/>
      <c r="D177" s="135"/>
      <c r="E177" s="136">
        <v>768</v>
      </c>
      <c r="F177" s="136">
        <v>52362.250000000007</v>
      </c>
      <c r="G177" s="136">
        <v>357866</v>
      </c>
    </row>
    <row r="178" spans="1:7" x14ac:dyDescent="0.35">
      <c r="A178" s="76" t="s">
        <v>181</v>
      </c>
      <c r="B178" s="76"/>
      <c r="C178" s="76"/>
      <c r="D178" s="76"/>
      <c r="E178" s="78">
        <v>1338</v>
      </c>
      <c r="F178" s="78">
        <v>86540.89</v>
      </c>
      <c r="G178" s="78">
        <v>571074.5</v>
      </c>
    </row>
  </sheetData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sheetPr>
    <pageSetUpPr fitToPage="1"/>
  </sheetPr>
  <dimension ref="A1:O152"/>
  <sheetViews>
    <sheetView topLeftCell="C1" workbookViewId="0">
      <selection activeCell="O2" sqref="O1:O2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0" width="2.6328125" style="33" customWidth="1"/>
    <col min="11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</cols>
  <sheetData>
    <row r="1" spans="1:15" x14ac:dyDescent="0.35">
      <c r="L1" s="88"/>
    </row>
    <row r="3" spans="1:15" x14ac:dyDescent="0.35">
      <c r="C3" s="49" t="s">
        <v>190</v>
      </c>
      <c r="M3" s="49" t="s">
        <v>190</v>
      </c>
    </row>
    <row r="4" spans="1:15" x14ac:dyDescent="0.35">
      <c r="A4" s="49" t="s">
        <v>112</v>
      </c>
      <c r="B4" s="49" t="s">
        <v>178</v>
      </c>
      <c r="C4" t="s">
        <v>191</v>
      </c>
      <c r="D4" t="s">
        <v>192</v>
      </c>
      <c r="E4" t="s">
        <v>189</v>
      </c>
      <c r="L4" s="49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 s="50">
        <v>16</v>
      </c>
      <c r="D5" s="50">
        <v>16</v>
      </c>
      <c r="E5" s="50">
        <v>0</v>
      </c>
      <c r="F5" s="61"/>
      <c r="G5" s="61"/>
      <c r="H5" s="61"/>
      <c r="L5" t="s">
        <v>134</v>
      </c>
      <c r="M5" s="50">
        <v>1</v>
      </c>
      <c r="N5" s="50">
        <v>1</v>
      </c>
      <c r="O5" s="50">
        <v>0</v>
      </c>
    </row>
    <row r="6" spans="1:15" x14ac:dyDescent="0.35">
      <c r="B6" t="s">
        <v>180</v>
      </c>
      <c r="C6" s="50">
        <v>16</v>
      </c>
      <c r="D6" s="50">
        <v>14</v>
      </c>
      <c r="E6" s="50">
        <v>2</v>
      </c>
      <c r="F6" s="61"/>
      <c r="G6" s="61"/>
      <c r="H6" s="61"/>
      <c r="L6" t="s">
        <v>63</v>
      </c>
      <c r="M6" s="50">
        <v>2</v>
      </c>
      <c r="N6" s="50">
        <v>2</v>
      </c>
      <c r="O6" s="50">
        <v>0</v>
      </c>
    </row>
    <row r="7" spans="1:15" x14ac:dyDescent="0.35">
      <c r="B7" t="s">
        <v>16</v>
      </c>
      <c r="C7" s="50">
        <v>5</v>
      </c>
      <c r="D7" s="50">
        <v>5</v>
      </c>
      <c r="E7" s="50">
        <v>0</v>
      </c>
      <c r="F7" s="61"/>
      <c r="G7" s="61"/>
      <c r="H7" s="61"/>
      <c r="L7" t="s">
        <v>19</v>
      </c>
      <c r="M7" s="50">
        <v>152</v>
      </c>
      <c r="N7" s="50">
        <v>147</v>
      </c>
      <c r="O7" s="50">
        <v>5</v>
      </c>
    </row>
    <row r="8" spans="1:15" x14ac:dyDescent="0.35">
      <c r="B8" t="s">
        <v>194</v>
      </c>
      <c r="C8" s="50">
        <v>5</v>
      </c>
      <c r="D8" s="50">
        <v>5</v>
      </c>
      <c r="E8" s="50">
        <v>0</v>
      </c>
      <c r="F8" s="61"/>
      <c r="G8" s="61"/>
      <c r="H8" s="61"/>
      <c r="L8" t="s">
        <v>179</v>
      </c>
      <c r="M8" s="50">
        <v>4</v>
      </c>
      <c r="N8" s="50">
        <v>4</v>
      </c>
      <c r="O8" s="50">
        <v>0</v>
      </c>
    </row>
    <row r="9" spans="1:15" x14ac:dyDescent="0.35">
      <c r="B9" t="s">
        <v>229</v>
      </c>
      <c r="C9" s="50">
        <v>2</v>
      </c>
      <c r="D9" s="50">
        <v>2</v>
      </c>
      <c r="E9" s="50">
        <v>0</v>
      </c>
      <c r="F9" s="61"/>
      <c r="G9" s="61"/>
      <c r="H9" s="61"/>
      <c r="L9" t="s">
        <v>180</v>
      </c>
      <c r="M9" s="50">
        <v>41</v>
      </c>
      <c r="N9" s="50">
        <v>39</v>
      </c>
      <c r="O9" s="50">
        <v>2</v>
      </c>
    </row>
    <row r="10" spans="1:15" x14ac:dyDescent="0.35">
      <c r="B10" t="s">
        <v>323</v>
      </c>
      <c r="C10" s="50">
        <v>20</v>
      </c>
      <c r="D10" s="50">
        <v>5</v>
      </c>
      <c r="E10" s="50">
        <v>15</v>
      </c>
      <c r="F10" s="61"/>
      <c r="G10" s="61"/>
      <c r="H10" s="61"/>
      <c r="L10" t="s">
        <v>176</v>
      </c>
      <c r="M10" s="50">
        <v>56</v>
      </c>
      <c r="N10" s="50">
        <v>53</v>
      </c>
      <c r="O10" s="50">
        <v>3</v>
      </c>
    </row>
    <row r="11" spans="1:15" x14ac:dyDescent="0.35">
      <c r="B11" t="s">
        <v>316</v>
      </c>
      <c r="C11" s="50">
        <v>2</v>
      </c>
      <c r="D11" s="50">
        <v>1</v>
      </c>
      <c r="E11" s="50">
        <v>1</v>
      </c>
      <c r="F11" s="61"/>
      <c r="G11" s="61"/>
      <c r="H11" s="61"/>
      <c r="L11" t="s">
        <v>177</v>
      </c>
      <c r="M11" s="50">
        <v>42</v>
      </c>
      <c r="N11" s="50">
        <v>40</v>
      </c>
      <c r="O11" s="50">
        <v>2</v>
      </c>
    </row>
    <row r="12" spans="1:15" x14ac:dyDescent="0.35">
      <c r="B12" t="s">
        <v>317</v>
      </c>
      <c r="C12" s="50">
        <v>2</v>
      </c>
      <c r="D12" s="50">
        <v>2</v>
      </c>
      <c r="E12" s="50">
        <v>0</v>
      </c>
      <c r="F12" s="61"/>
      <c r="G12" s="61"/>
      <c r="H12" s="61"/>
      <c r="L12" t="s">
        <v>16</v>
      </c>
      <c r="M12" s="50">
        <v>91</v>
      </c>
      <c r="N12" s="50">
        <v>91</v>
      </c>
      <c r="O12" s="50">
        <v>0</v>
      </c>
    </row>
    <row r="13" spans="1:15" x14ac:dyDescent="0.35">
      <c r="B13" t="s">
        <v>319</v>
      </c>
      <c r="C13" s="50">
        <v>4</v>
      </c>
      <c r="D13" s="50">
        <v>4</v>
      </c>
      <c r="E13" s="50">
        <v>0</v>
      </c>
      <c r="F13" s="61"/>
      <c r="G13" s="61"/>
      <c r="H13" s="61"/>
      <c r="L13" t="s">
        <v>55</v>
      </c>
      <c r="M13" s="50">
        <v>4</v>
      </c>
      <c r="N13" s="50">
        <v>4</v>
      </c>
      <c r="O13" s="50">
        <v>0</v>
      </c>
    </row>
    <row r="14" spans="1:15" x14ac:dyDescent="0.35">
      <c r="B14" t="s">
        <v>340</v>
      </c>
      <c r="C14" s="50">
        <v>2</v>
      </c>
      <c r="D14" s="50">
        <v>2</v>
      </c>
      <c r="E14" s="50">
        <v>0</v>
      </c>
      <c r="F14" s="61"/>
      <c r="G14" s="61"/>
      <c r="H14" s="61"/>
      <c r="L14" t="s">
        <v>17</v>
      </c>
      <c r="M14" s="50">
        <v>14</v>
      </c>
      <c r="N14" s="50">
        <v>14</v>
      </c>
      <c r="O14" s="50">
        <v>0</v>
      </c>
    </row>
    <row r="15" spans="1:15" x14ac:dyDescent="0.35">
      <c r="B15" t="s">
        <v>423</v>
      </c>
      <c r="C15" s="50">
        <v>8</v>
      </c>
      <c r="D15" s="50">
        <v>8</v>
      </c>
      <c r="E15" s="50">
        <v>0</v>
      </c>
      <c r="F15" s="61"/>
      <c r="G15" s="61"/>
      <c r="H15" s="61"/>
      <c r="L15" t="s">
        <v>31</v>
      </c>
      <c r="M15" s="50">
        <v>13</v>
      </c>
      <c r="N15" s="50">
        <v>13</v>
      </c>
      <c r="O15" s="50">
        <v>0</v>
      </c>
    </row>
    <row r="16" spans="1:15" x14ac:dyDescent="0.35">
      <c r="A16" s="51" t="s">
        <v>186</v>
      </c>
      <c r="B16" s="51"/>
      <c r="C16" s="52">
        <v>82</v>
      </c>
      <c r="D16" s="52">
        <v>64</v>
      </c>
      <c r="E16" s="52">
        <v>18</v>
      </c>
      <c r="F16" s="61"/>
      <c r="G16" s="61"/>
      <c r="H16" s="61"/>
      <c r="L16" t="s">
        <v>29</v>
      </c>
      <c r="M16" s="50">
        <v>145</v>
      </c>
      <c r="N16" s="50">
        <v>145</v>
      </c>
      <c r="O16" s="50">
        <v>0</v>
      </c>
    </row>
    <row r="17" spans="1:15" x14ac:dyDescent="0.35">
      <c r="A17">
        <v>6</v>
      </c>
      <c r="B17" t="s">
        <v>19</v>
      </c>
      <c r="C17" s="50">
        <v>12</v>
      </c>
      <c r="D17" s="50">
        <v>12</v>
      </c>
      <c r="E17" s="50">
        <v>0</v>
      </c>
      <c r="F17" s="61"/>
      <c r="G17" s="61"/>
      <c r="H17" s="61"/>
      <c r="L17" t="s">
        <v>153</v>
      </c>
      <c r="M17" s="50">
        <v>1</v>
      </c>
      <c r="N17" s="50">
        <v>1</v>
      </c>
      <c r="O17" s="50">
        <v>0</v>
      </c>
    </row>
    <row r="18" spans="1:15" x14ac:dyDescent="0.35">
      <c r="B18" t="s">
        <v>177</v>
      </c>
      <c r="C18" s="50">
        <v>16</v>
      </c>
      <c r="D18" s="50">
        <v>16</v>
      </c>
      <c r="E18" s="50">
        <v>0</v>
      </c>
      <c r="F18" s="61"/>
      <c r="G18" s="61"/>
      <c r="H18" s="61"/>
      <c r="L18" t="s">
        <v>139</v>
      </c>
      <c r="M18" s="50">
        <v>1</v>
      </c>
      <c r="N18" s="50">
        <v>1</v>
      </c>
      <c r="O18" s="50">
        <v>0</v>
      </c>
    </row>
    <row r="19" spans="1:15" x14ac:dyDescent="0.35">
      <c r="B19" t="s">
        <v>17</v>
      </c>
      <c r="C19" s="50">
        <v>2</v>
      </c>
      <c r="D19" s="50">
        <v>2</v>
      </c>
      <c r="E19" s="50">
        <v>0</v>
      </c>
      <c r="F19" s="61"/>
      <c r="G19" s="61"/>
      <c r="H19" s="61"/>
      <c r="L19" t="s">
        <v>64</v>
      </c>
      <c r="M19" s="50">
        <v>65</v>
      </c>
      <c r="N19" s="50">
        <v>62</v>
      </c>
      <c r="O19" s="50">
        <v>3</v>
      </c>
    </row>
    <row r="20" spans="1:15" x14ac:dyDescent="0.35">
      <c r="B20" t="s">
        <v>15</v>
      </c>
      <c r="C20" s="50">
        <v>1</v>
      </c>
      <c r="D20" s="50">
        <v>1</v>
      </c>
      <c r="E20" s="50">
        <v>0</v>
      </c>
      <c r="F20" s="61"/>
      <c r="G20" s="61"/>
      <c r="H20" s="61"/>
      <c r="L20" t="s">
        <v>15</v>
      </c>
      <c r="M20" s="50">
        <v>3</v>
      </c>
      <c r="N20" s="50">
        <v>3</v>
      </c>
      <c r="O20" s="50">
        <v>0</v>
      </c>
    </row>
    <row r="21" spans="1:15" x14ac:dyDescent="0.35">
      <c r="B21" t="s">
        <v>21</v>
      </c>
      <c r="C21" s="50">
        <v>1</v>
      </c>
      <c r="D21" s="50">
        <v>1</v>
      </c>
      <c r="E21" s="50">
        <v>0</v>
      </c>
      <c r="F21" s="61"/>
      <c r="G21" s="61"/>
      <c r="H21" s="61"/>
      <c r="L21" t="s">
        <v>14</v>
      </c>
      <c r="M21" s="50">
        <v>7</v>
      </c>
      <c r="N21" s="50">
        <v>7</v>
      </c>
      <c r="O21" s="50">
        <v>0</v>
      </c>
    </row>
    <row r="22" spans="1:15" x14ac:dyDescent="0.35">
      <c r="A22" s="51" t="s">
        <v>182</v>
      </c>
      <c r="B22" s="51"/>
      <c r="C22" s="52">
        <v>32</v>
      </c>
      <c r="D22" s="52">
        <v>32</v>
      </c>
      <c r="E22" s="52">
        <v>0</v>
      </c>
      <c r="F22" s="61"/>
      <c r="G22" s="61"/>
      <c r="H22" s="61"/>
      <c r="L22" t="s">
        <v>28</v>
      </c>
      <c r="M22" s="50">
        <v>202</v>
      </c>
      <c r="N22" s="50">
        <v>177</v>
      </c>
      <c r="O22" s="50">
        <v>25</v>
      </c>
    </row>
    <row r="23" spans="1:15" x14ac:dyDescent="0.35">
      <c r="A23">
        <v>7</v>
      </c>
      <c r="B23" t="s">
        <v>19</v>
      </c>
      <c r="C23" s="50">
        <v>20</v>
      </c>
      <c r="D23" s="50">
        <v>20</v>
      </c>
      <c r="E23" s="50">
        <v>0</v>
      </c>
      <c r="F23" s="61"/>
      <c r="G23" s="61"/>
      <c r="H23" s="61"/>
      <c r="L23" t="s">
        <v>21</v>
      </c>
      <c r="M23" s="50">
        <v>1</v>
      </c>
      <c r="N23" s="50">
        <v>1</v>
      </c>
      <c r="O23" s="50">
        <v>0</v>
      </c>
    </row>
    <row r="24" spans="1:15" x14ac:dyDescent="0.35">
      <c r="B24" t="s">
        <v>176</v>
      </c>
      <c r="C24" s="50">
        <v>20</v>
      </c>
      <c r="D24" s="50">
        <v>20</v>
      </c>
      <c r="E24" s="50">
        <v>0</v>
      </c>
      <c r="F24" s="61"/>
      <c r="G24" s="61"/>
      <c r="H24" s="61"/>
      <c r="L24" t="s">
        <v>37</v>
      </c>
      <c r="M24" s="50">
        <v>19</v>
      </c>
      <c r="N24" s="50">
        <v>13</v>
      </c>
      <c r="O24" s="50">
        <v>6</v>
      </c>
    </row>
    <row r="25" spans="1:15" x14ac:dyDescent="0.35">
      <c r="B25" t="s">
        <v>16</v>
      </c>
      <c r="C25" s="50">
        <v>10</v>
      </c>
      <c r="D25" s="50">
        <v>10</v>
      </c>
      <c r="E25" s="50">
        <v>0</v>
      </c>
      <c r="F25" s="61"/>
      <c r="G25" s="61"/>
      <c r="H25" s="61"/>
      <c r="L25" t="s">
        <v>33</v>
      </c>
      <c r="M25" s="50">
        <v>2</v>
      </c>
      <c r="N25" s="50">
        <v>2</v>
      </c>
      <c r="O25" s="50">
        <v>0</v>
      </c>
    </row>
    <row r="26" spans="1:15" x14ac:dyDescent="0.35">
      <c r="B26" t="s">
        <v>31</v>
      </c>
      <c r="C26" s="50">
        <v>2</v>
      </c>
      <c r="D26" s="50">
        <v>2</v>
      </c>
      <c r="E26" s="50">
        <v>0</v>
      </c>
      <c r="F26" s="61"/>
      <c r="G26" s="61"/>
      <c r="H26" s="61"/>
      <c r="L26" t="s">
        <v>194</v>
      </c>
      <c r="M26" s="50">
        <v>77</v>
      </c>
      <c r="N26" s="50">
        <v>77</v>
      </c>
      <c r="O26" s="50">
        <v>0</v>
      </c>
    </row>
    <row r="27" spans="1:15" x14ac:dyDescent="0.35">
      <c r="B27" t="s">
        <v>29</v>
      </c>
      <c r="C27" s="50">
        <v>12</v>
      </c>
      <c r="D27" s="50">
        <v>12</v>
      </c>
      <c r="E27" s="50">
        <v>0</v>
      </c>
      <c r="F27" s="61"/>
      <c r="G27" s="61"/>
      <c r="H27" s="61"/>
      <c r="L27" t="s">
        <v>196</v>
      </c>
      <c r="M27" s="50">
        <v>3</v>
      </c>
      <c r="N27" s="50">
        <v>3</v>
      </c>
      <c r="O27" s="50">
        <v>0</v>
      </c>
    </row>
    <row r="28" spans="1:15" x14ac:dyDescent="0.35">
      <c r="B28" t="s">
        <v>15</v>
      </c>
      <c r="C28" s="50">
        <v>1</v>
      </c>
      <c r="D28" s="50">
        <v>1</v>
      </c>
      <c r="E28" s="50">
        <v>0</v>
      </c>
      <c r="F28" s="61"/>
      <c r="G28" s="61"/>
      <c r="H28" s="61"/>
      <c r="L28" t="s">
        <v>237</v>
      </c>
      <c r="M28" s="50">
        <v>4</v>
      </c>
      <c r="N28" s="50">
        <v>4</v>
      </c>
      <c r="O28" s="50">
        <v>0</v>
      </c>
    </row>
    <row r="29" spans="1:15" x14ac:dyDescent="0.35">
      <c r="B29" t="s">
        <v>14</v>
      </c>
      <c r="C29" s="50">
        <v>2</v>
      </c>
      <c r="D29" s="50">
        <v>2</v>
      </c>
      <c r="E29" s="50">
        <v>0</v>
      </c>
      <c r="F29" s="61"/>
      <c r="G29" s="61"/>
      <c r="H29" s="61"/>
      <c r="L29" t="s">
        <v>213</v>
      </c>
      <c r="M29" s="50">
        <v>2</v>
      </c>
      <c r="N29" s="50">
        <v>2</v>
      </c>
      <c r="O29" s="50">
        <v>0</v>
      </c>
    </row>
    <row r="30" spans="1:15" x14ac:dyDescent="0.35">
      <c r="B30" t="s">
        <v>28</v>
      </c>
      <c r="C30" s="50">
        <v>40</v>
      </c>
      <c r="D30" s="50">
        <v>40</v>
      </c>
      <c r="E30" s="50">
        <v>0</v>
      </c>
      <c r="F30" s="61"/>
      <c r="G30" s="61"/>
      <c r="H30" s="61"/>
      <c r="L30" t="s">
        <v>214</v>
      </c>
      <c r="M30" s="50">
        <v>2</v>
      </c>
      <c r="N30" s="50">
        <v>2</v>
      </c>
      <c r="O30" s="50">
        <v>0</v>
      </c>
    </row>
    <row r="31" spans="1:15" x14ac:dyDescent="0.35">
      <c r="B31" t="s">
        <v>37</v>
      </c>
      <c r="C31" s="50">
        <v>1</v>
      </c>
      <c r="D31" s="50">
        <v>1</v>
      </c>
      <c r="E31" s="50">
        <v>0</v>
      </c>
      <c r="F31" s="61"/>
      <c r="G31" s="61"/>
      <c r="H31" s="61"/>
      <c r="L31" t="s">
        <v>229</v>
      </c>
      <c r="M31" s="50">
        <v>5</v>
      </c>
      <c r="N31" s="50">
        <v>5</v>
      </c>
      <c r="O31" s="50">
        <v>0</v>
      </c>
    </row>
    <row r="32" spans="1:15" x14ac:dyDescent="0.35">
      <c r="B32" t="s">
        <v>33</v>
      </c>
      <c r="C32" s="50">
        <v>1</v>
      </c>
      <c r="D32" s="50">
        <v>1</v>
      </c>
      <c r="E32" s="50">
        <v>0</v>
      </c>
      <c r="F32" s="61"/>
      <c r="G32" s="61"/>
      <c r="H32" s="61"/>
      <c r="L32" t="s">
        <v>235</v>
      </c>
      <c r="M32" s="50">
        <v>2</v>
      </c>
      <c r="N32" s="50">
        <v>2</v>
      </c>
      <c r="O32" s="50">
        <v>0</v>
      </c>
    </row>
    <row r="33" spans="1:15" x14ac:dyDescent="0.35">
      <c r="A33" s="51" t="s">
        <v>187</v>
      </c>
      <c r="B33" s="51"/>
      <c r="C33" s="52">
        <v>109</v>
      </c>
      <c r="D33" s="52">
        <v>109</v>
      </c>
      <c r="E33" s="52">
        <v>0</v>
      </c>
      <c r="F33" s="61"/>
      <c r="G33" s="61"/>
      <c r="H33" s="61"/>
      <c r="L33" t="s">
        <v>231</v>
      </c>
      <c r="M33" s="50">
        <v>1</v>
      </c>
      <c r="N33" s="50">
        <v>1</v>
      </c>
      <c r="O33" s="50">
        <v>0</v>
      </c>
    </row>
    <row r="34" spans="1:15" x14ac:dyDescent="0.35">
      <c r="A34">
        <v>8</v>
      </c>
      <c r="B34" t="s">
        <v>63</v>
      </c>
      <c r="C34" s="50">
        <v>1</v>
      </c>
      <c r="D34" s="50">
        <v>1</v>
      </c>
      <c r="E34" s="50">
        <v>0</v>
      </c>
      <c r="F34" s="61"/>
      <c r="G34" s="61"/>
      <c r="H34" s="61"/>
      <c r="L34" t="s">
        <v>232</v>
      </c>
      <c r="M34" s="50">
        <v>3</v>
      </c>
      <c r="N34" s="50">
        <v>3</v>
      </c>
      <c r="O34" s="50">
        <v>0</v>
      </c>
    </row>
    <row r="35" spans="1:15" x14ac:dyDescent="0.35">
      <c r="B35" t="s">
        <v>180</v>
      </c>
      <c r="C35" s="50">
        <v>4</v>
      </c>
      <c r="D35" s="50">
        <v>4</v>
      </c>
      <c r="E35" s="50">
        <v>0</v>
      </c>
      <c r="F35" s="61"/>
      <c r="G35" s="61"/>
      <c r="H35" s="61"/>
      <c r="L35" t="s">
        <v>233</v>
      </c>
      <c r="M35" s="50">
        <v>7</v>
      </c>
      <c r="N35" s="50">
        <v>6</v>
      </c>
      <c r="O35" s="50">
        <v>1</v>
      </c>
    </row>
    <row r="36" spans="1:15" x14ac:dyDescent="0.35">
      <c r="B36" t="s">
        <v>55</v>
      </c>
      <c r="C36" s="50">
        <v>2</v>
      </c>
      <c r="D36" s="50">
        <v>2</v>
      </c>
      <c r="E36" s="50">
        <v>0</v>
      </c>
      <c r="F36" s="61"/>
      <c r="G36" s="61"/>
      <c r="H36" s="61"/>
      <c r="L36" t="s">
        <v>234</v>
      </c>
      <c r="M36" s="50">
        <v>2</v>
      </c>
      <c r="N36" s="50">
        <v>2</v>
      </c>
      <c r="O36" s="50">
        <v>0</v>
      </c>
    </row>
    <row r="37" spans="1:15" x14ac:dyDescent="0.35">
      <c r="B37" t="s">
        <v>17</v>
      </c>
      <c r="C37" s="50">
        <v>4</v>
      </c>
      <c r="D37" s="50">
        <v>4</v>
      </c>
      <c r="E37" s="50">
        <v>0</v>
      </c>
      <c r="F37" s="61"/>
      <c r="G37" s="61"/>
      <c r="H37" s="61"/>
      <c r="L37" t="s">
        <v>240</v>
      </c>
      <c r="M37" s="50">
        <v>16</v>
      </c>
      <c r="N37" s="50">
        <v>11</v>
      </c>
      <c r="O37" s="50">
        <v>5</v>
      </c>
    </row>
    <row r="38" spans="1:15" x14ac:dyDescent="0.35">
      <c r="B38" t="s">
        <v>29</v>
      </c>
      <c r="C38" s="50">
        <v>10</v>
      </c>
      <c r="D38" s="50">
        <v>10</v>
      </c>
      <c r="E38" s="50">
        <v>0</v>
      </c>
      <c r="F38" s="61"/>
      <c r="G38" s="61"/>
      <c r="H38" s="61"/>
      <c r="L38" t="s">
        <v>239</v>
      </c>
      <c r="M38" s="50">
        <v>1</v>
      </c>
      <c r="N38" s="50">
        <v>1</v>
      </c>
      <c r="O38" s="50">
        <v>0</v>
      </c>
    </row>
    <row r="39" spans="1:15" x14ac:dyDescent="0.35">
      <c r="B39" t="s">
        <v>64</v>
      </c>
      <c r="C39" s="50">
        <v>10</v>
      </c>
      <c r="D39" s="50">
        <v>10</v>
      </c>
      <c r="E39" s="50">
        <v>0</v>
      </c>
      <c r="F39" s="61"/>
      <c r="G39" s="61"/>
      <c r="H39" s="61"/>
      <c r="L39" t="s">
        <v>246</v>
      </c>
      <c r="M39" s="50">
        <v>28</v>
      </c>
      <c r="N39" s="50">
        <v>21</v>
      </c>
      <c r="O39" s="50">
        <v>7</v>
      </c>
    </row>
    <row r="40" spans="1:15" x14ac:dyDescent="0.35">
      <c r="B40" t="s">
        <v>37</v>
      </c>
      <c r="C40" s="50">
        <v>2</v>
      </c>
      <c r="D40" s="50">
        <v>2</v>
      </c>
      <c r="E40" s="50">
        <v>0</v>
      </c>
      <c r="F40" s="61"/>
      <c r="G40" s="61"/>
      <c r="H40" s="61"/>
      <c r="L40" t="s">
        <v>268</v>
      </c>
      <c r="M40" s="50">
        <v>1</v>
      </c>
      <c r="N40" s="50">
        <v>1</v>
      </c>
      <c r="O40" s="50">
        <v>0</v>
      </c>
    </row>
    <row r="41" spans="1:15" x14ac:dyDescent="0.35">
      <c r="A41" s="51" t="s">
        <v>185</v>
      </c>
      <c r="B41" s="51"/>
      <c r="C41" s="52">
        <v>33</v>
      </c>
      <c r="D41" s="52">
        <v>33</v>
      </c>
      <c r="E41" s="52">
        <v>0</v>
      </c>
      <c r="F41" s="61"/>
      <c r="G41" s="61"/>
      <c r="H41" s="61"/>
      <c r="L41" t="s">
        <v>257</v>
      </c>
      <c r="M41" s="50">
        <v>1</v>
      </c>
      <c r="N41" s="50">
        <v>1</v>
      </c>
      <c r="O41" s="50">
        <v>0</v>
      </c>
    </row>
    <row r="42" spans="1:15" x14ac:dyDescent="0.35">
      <c r="A42">
        <v>9</v>
      </c>
      <c r="B42" t="s">
        <v>19</v>
      </c>
      <c r="C42" s="50">
        <v>20</v>
      </c>
      <c r="D42" s="50">
        <v>20</v>
      </c>
      <c r="E42" s="50">
        <v>0</v>
      </c>
      <c r="F42" s="61"/>
      <c r="G42" s="61"/>
      <c r="H42" s="61"/>
      <c r="L42" t="s">
        <v>273</v>
      </c>
      <c r="M42" s="50">
        <v>3</v>
      </c>
      <c r="N42" s="50">
        <v>3</v>
      </c>
      <c r="O42" s="50">
        <v>0</v>
      </c>
    </row>
    <row r="43" spans="1:15" x14ac:dyDescent="0.35">
      <c r="B43" t="s">
        <v>180</v>
      </c>
      <c r="C43" s="50">
        <v>6</v>
      </c>
      <c r="D43" s="50">
        <v>6</v>
      </c>
      <c r="E43" s="50">
        <v>0</v>
      </c>
      <c r="F43" s="61"/>
      <c r="G43" s="61"/>
      <c r="H43" s="61"/>
      <c r="L43" t="s">
        <v>323</v>
      </c>
      <c r="M43" s="50">
        <v>20</v>
      </c>
      <c r="N43" s="50">
        <v>5</v>
      </c>
      <c r="O43" s="50">
        <v>15</v>
      </c>
    </row>
    <row r="44" spans="1:15" x14ac:dyDescent="0.35">
      <c r="B44" t="s">
        <v>177</v>
      </c>
      <c r="C44" s="50">
        <v>6</v>
      </c>
      <c r="D44" s="50">
        <v>6</v>
      </c>
      <c r="E44" s="50">
        <v>0</v>
      </c>
      <c r="F44" s="61"/>
      <c r="G44" s="61"/>
      <c r="H44" s="61"/>
      <c r="L44" t="s">
        <v>316</v>
      </c>
      <c r="M44" s="50">
        <v>2</v>
      </c>
      <c r="N44" s="50">
        <v>1</v>
      </c>
      <c r="O44" s="50">
        <v>1</v>
      </c>
    </row>
    <row r="45" spans="1:15" x14ac:dyDescent="0.35">
      <c r="B45" t="s">
        <v>16</v>
      </c>
      <c r="C45" s="50">
        <v>30</v>
      </c>
      <c r="D45" s="50">
        <v>30</v>
      </c>
      <c r="E45" s="50">
        <v>0</v>
      </c>
      <c r="F45" s="61"/>
      <c r="G45" s="61"/>
      <c r="H45" s="61"/>
      <c r="L45" t="s">
        <v>317</v>
      </c>
      <c r="M45" s="50">
        <v>2</v>
      </c>
      <c r="N45" s="50">
        <v>2</v>
      </c>
      <c r="O45" s="50">
        <v>0</v>
      </c>
    </row>
    <row r="46" spans="1:15" x14ac:dyDescent="0.35">
      <c r="B46" t="s">
        <v>31</v>
      </c>
      <c r="C46" s="50">
        <v>2</v>
      </c>
      <c r="D46" s="50">
        <v>2</v>
      </c>
      <c r="E46" s="50">
        <v>0</v>
      </c>
      <c r="F46" s="61"/>
      <c r="G46" s="61"/>
      <c r="H46" s="61"/>
      <c r="L46" t="s">
        <v>319</v>
      </c>
      <c r="M46" s="50">
        <v>8</v>
      </c>
      <c r="N46" s="50">
        <v>5</v>
      </c>
      <c r="O46" s="50">
        <v>3</v>
      </c>
    </row>
    <row r="47" spans="1:15" x14ac:dyDescent="0.35">
      <c r="B47" t="s">
        <v>29</v>
      </c>
      <c r="C47" s="50">
        <v>27</v>
      </c>
      <c r="D47" s="50">
        <v>27</v>
      </c>
      <c r="E47" s="50">
        <v>0</v>
      </c>
      <c r="F47" s="61"/>
      <c r="G47" s="61"/>
      <c r="H47" s="61"/>
      <c r="L47" t="s">
        <v>340</v>
      </c>
      <c r="M47" s="50">
        <v>2</v>
      </c>
      <c r="N47" s="50">
        <v>2</v>
      </c>
      <c r="O47" s="50">
        <v>0</v>
      </c>
    </row>
    <row r="48" spans="1:15" x14ac:dyDescent="0.35">
      <c r="B48" t="s">
        <v>64</v>
      </c>
      <c r="C48" s="50">
        <v>10</v>
      </c>
      <c r="D48" s="50">
        <v>7</v>
      </c>
      <c r="E48" s="50">
        <v>3</v>
      </c>
      <c r="F48" s="61"/>
      <c r="G48" s="61"/>
      <c r="H48" s="61"/>
      <c r="L48" t="s">
        <v>363</v>
      </c>
      <c r="M48" s="50">
        <v>9</v>
      </c>
      <c r="N48" s="50">
        <v>9</v>
      </c>
      <c r="O48" s="50">
        <v>0</v>
      </c>
    </row>
    <row r="49" spans="1:15" x14ac:dyDescent="0.35">
      <c r="B49" t="s">
        <v>37</v>
      </c>
      <c r="C49" s="50">
        <v>6</v>
      </c>
      <c r="D49" s="50">
        <v>6</v>
      </c>
      <c r="E49" s="50">
        <v>0</v>
      </c>
      <c r="F49" s="61"/>
      <c r="G49" s="61"/>
      <c r="H49" s="61"/>
      <c r="L49" t="s">
        <v>364</v>
      </c>
      <c r="M49" s="50">
        <v>2</v>
      </c>
      <c r="N49" s="50">
        <v>2</v>
      </c>
      <c r="O49" s="50">
        <v>0</v>
      </c>
    </row>
    <row r="50" spans="1:15" x14ac:dyDescent="0.35">
      <c r="B50" t="s">
        <v>33</v>
      </c>
      <c r="C50" s="50">
        <v>1</v>
      </c>
      <c r="D50" s="50">
        <v>1</v>
      </c>
      <c r="E50" s="50">
        <v>0</v>
      </c>
      <c r="F50" s="61"/>
      <c r="G50" s="61"/>
      <c r="H50" s="61"/>
      <c r="L50" t="s">
        <v>365</v>
      </c>
      <c r="M50" s="50">
        <v>2</v>
      </c>
      <c r="N50" s="50">
        <v>2</v>
      </c>
      <c r="O50" s="50">
        <v>0</v>
      </c>
    </row>
    <row r="51" spans="1:15" x14ac:dyDescent="0.35">
      <c r="B51" t="s">
        <v>233</v>
      </c>
      <c r="C51" s="50">
        <v>2</v>
      </c>
      <c r="D51" s="50">
        <v>1</v>
      </c>
      <c r="E51" s="50">
        <v>1</v>
      </c>
      <c r="F51" s="61"/>
      <c r="G51" s="61"/>
      <c r="H51" s="61"/>
      <c r="L51" t="s">
        <v>370</v>
      </c>
      <c r="M51" s="50">
        <v>2</v>
      </c>
      <c r="N51" s="50">
        <v>1</v>
      </c>
      <c r="O51" s="50">
        <v>1</v>
      </c>
    </row>
    <row r="52" spans="1:15" x14ac:dyDescent="0.35">
      <c r="B52" t="s">
        <v>268</v>
      </c>
      <c r="C52" s="50">
        <v>1</v>
      </c>
      <c r="D52" s="50">
        <v>1</v>
      </c>
      <c r="E52" s="50">
        <v>0</v>
      </c>
      <c r="F52" s="61"/>
      <c r="G52" s="61"/>
      <c r="H52" s="61"/>
      <c r="L52" t="s">
        <v>376</v>
      </c>
      <c r="M52" s="50">
        <v>1</v>
      </c>
      <c r="N52" s="50">
        <v>1</v>
      </c>
      <c r="O52" s="50">
        <v>0</v>
      </c>
    </row>
    <row r="53" spans="1:15" x14ac:dyDescent="0.35">
      <c r="B53" t="s">
        <v>386</v>
      </c>
      <c r="C53" s="50">
        <v>32</v>
      </c>
      <c r="D53" s="50">
        <v>32</v>
      </c>
      <c r="E53" s="50">
        <v>0</v>
      </c>
      <c r="F53" s="61"/>
      <c r="G53" s="61"/>
      <c r="H53" s="61"/>
      <c r="L53" t="s">
        <v>384</v>
      </c>
      <c r="M53" s="50">
        <v>1</v>
      </c>
      <c r="N53" s="50">
        <v>1</v>
      </c>
      <c r="O53" s="50">
        <v>0</v>
      </c>
    </row>
    <row r="54" spans="1:15" x14ac:dyDescent="0.35">
      <c r="B54" t="s">
        <v>423</v>
      </c>
      <c r="C54" s="50">
        <v>12</v>
      </c>
      <c r="D54" s="50">
        <v>12</v>
      </c>
      <c r="E54" s="50">
        <v>0</v>
      </c>
      <c r="F54" s="61"/>
      <c r="G54" s="61"/>
      <c r="H54" s="61"/>
      <c r="L54" t="s">
        <v>366</v>
      </c>
      <c r="M54" s="50">
        <v>20</v>
      </c>
      <c r="N54" s="50">
        <v>12</v>
      </c>
      <c r="O54" s="50">
        <v>8</v>
      </c>
    </row>
    <row r="55" spans="1:15" x14ac:dyDescent="0.35">
      <c r="A55" s="51" t="s">
        <v>183</v>
      </c>
      <c r="B55" s="51"/>
      <c r="C55" s="52">
        <v>155</v>
      </c>
      <c r="D55" s="52">
        <v>151</v>
      </c>
      <c r="E55" s="52">
        <v>4</v>
      </c>
      <c r="F55" s="61"/>
      <c r="G55" s="61"/>
      <c r="H55" s="61"/>
      <c r="L55" t="s">
        <v>386</v>
      </c>
      <c r="M55" s="50">
        <v>85</v>
      </c>
      <c r="N55" s="50">
        <v>66</v>
      </c>
      <c r="O55" s="50">
        <v>19</v>
      </c>
    </row>
    <row r="56" spans="1:15" x14ac:dyDescent="0.35">
      <c r="A56">
        <v>10</v>
      </c>
      <c r="B56" t="s">
        <v>134</v>
      </c>
      <c r="C56" s="50">
        <v>1</v>
      </c>
      <c r="D56" s="50">
        <v>1</v>
      </c>
      <c r="E56" s="50">
        <v>0</v>
      </c>
      <c r="F56" s="61"/>
      <c r="G56" s="61"/>
      <c r="H56" s="61"/>
      <c r="L56" t="s">
        <v>389</v>
      </c>
      <c r="M56" s="50">
        <v>16</v>
      </c>
      <c r="N56" s="50">
        <v>11</v>
      </c>
      <c r="O56" s="50">
        <v>5</v>
      </c>
    </row>
    <row r="57" spans="1:15" x14ac:dyDescent="0.35">
      <c r="B57" t="s">
        <v>19</v>
      </c>
      <c r="C57" s="50">
        <v>32</v>
      </c>
      <c r="D57" s="50">
        <v>27</v>
      </c>
      <c r="E57" s="50">
        <v>5</v>
      </c>
      <c r="F57" s="61"/>
      <c r="G57" s="61"/>
      <c r="H57" s="61"/>
      <c r="L57" t="s">
        <v>423</v>
      </c>
      <c r="M57" s="50">
        <v>41</v>
      </c>
      <c r="N57" s="50">
        <v>30</v>
      </c>
      <c r="O57" s="50">
        <v>11</v>
      </c>
    </row>
    <row r="58" spans="1:15" x14ac:dyDescent="0.35">
      <c r="B58" t="s">
        <v>180</v>
      </c>
      <c r="C58" s="50">
        <v>15</v>
      </c>
      <c r="D58" s="50">
        <v>15</v>
      </c>
      <c r="E58" s="50">
        <v>0</v>
      </c>
      <c r="F58" s="61"/>
      <c r="G58" s="61"/>
      <c r="H58" s="61"/>
      <c r="L58" t="s">
        <v>452</v>
      </c>
      <c r="M58" s="50">
        <v>1</v>
      </c>
      <c r="N58" s="50">
        <v>1</v>
      </c>
      <c r="O58" s="50">
        <v>0</v>
      </c>
    </row>
    <row r="59" spans="1:15" x14ac:dyDescent="0.35">
      <c r="B59" t="s">
        <v>176</v>
      </c>
      <c r="C59" s="50">
        <v>20</v>
      </c>
      <c r="D59" s="50">
        <v>17</v>
      </c>
      <c r="E59" s="50">
        <v>3</v>
      </c>
      <c r="F59" s="61"/>
      <c r="G59" s="61"/>
      <c r="H59" s="61"/>
      <c r="L59" t="s">
        <v>462</v>
      </c>
      <c r="M59" s="50">
        <v>4</v>
      </c>
      <c r="N59" s="50">
        <v>4</v>
      </c>
      <c r="O59" s="50">
        <v>0</v>
      </c>
    </row>
    <row r="60" spans="1:15" x14ac:dyDescent="0.35">
      <c r="B60" t="s">
        <v>177</v>
      </c>
      <c r="C60" s="50">
        <v>20</v>
      </c>
      <c r="D60" s="50">
        <v>18</v>
      </c>
      <c r="E60" s="50">
        <v>2</v>
      </c>
      <c r="F60" s="61"/>
      <c r="G60" s="61"/>
      <c r="H60" s="61"/>
      <c r="L60" t="s">
        <v>461</v>
      </c>
      <c r="M60" s="50">
        <v>26</v>
      </c>
      <c r="N60" s="50">
        <v>15</v>
      </c>
      <c r="O60" s="50">
        <v>11</v>
      </c>
    </row>
    <row r="61" spans="1:15" x14ac:dyDescent="0.35">
      <c r="B61" t="s">
        <v>16</v>
      </c>
      <c r="C61" s="50">
        <v>20</v>
      </c>
      <c r="D61" s="50">
        <v>20</v>
      </c>
      <c r="E61" s="50">
        <v>0</v>
      </c>
      <c r="F61" s="61"/>
      <c r="G61" s="61"/>
      <c r="H61" s="61"/>
      <c r="L61" t="s">
        <v>457</v>
      </c>
      <c r="M61" s="50">
        <v>9</v>
      </c>
      <c r="N61" s="50">
        <v>7</v>
      </c>
      <c r="O61" s="50">
        <v>2</v>
      </c>
    </row>
    <row r="62" spans="1:15" x14ac:dyDescent="0.35">
      <c r="B62" t="s">
        <v>55</v>
      </c>
      <c r="C62" s="50">
        <v>2</v>
      </c>
      <c r="D62" s="50">
        <v>2</v>
      </c>
      <c r="E62" s="50">
        <v>0</v>
      </c>
      <c r="F62" s="61"/>
      <c r="G62" s="61"/>
      <c r="H62" s="61"/>
      <c r="L62" t="s">
        <v>456</v>
      </c>
      <c r="M62" s="50">
        <v>10</v>
      </c>
      <c r="N62" s="50">
        <v>10</v>
      </c>
      <c r="O62" s="50">
        <v>0</v>
      </c>
    </row>
    <row r="63" spans="1:15" x14ac:dyDescent="0.35">
      <c r="B63" t="s">
        <v>17</v>
      </c>
      <c r="C63" s="50">
        <v>4</v>
      </c>
      <c r="D63" s="50">
        <v>4</v>
      </c>
      <c r="E63" s="50">
        <v>0</v>
      </c>
      <c r="F63" s="61"/>
      <c r="G63" s="61"/>
      <c r="H63" s="61"/>
      <c r="L63" t="s">
        <v>458</v>
      </c>
      <c r="M63" s="50">
        <v>12</v>
      </c>
      <c r="N63" s="50">
        <v>6</v>
      </c>
      <c r="O63" s="50">
        <v>6</v>
      </c>
    </row>
    <row r="64" spans="1:15" x14ac:dyDescent="0.35">
      <c r="B64" t="s">
        <v>31</v>
      </c>
      <c r="C64" s="50">
        <v>5</v>
      </c>
      <c r="D64" s="50">
        <v>5</v>
      </c>
      <c r="E64" s="50">
        <v>0</v>
      </c>
      <c r="F64" s="61"/>
      <c r="G64" s="61"/>
      <c r="H64" s="61"/>
      <c r="L64" t="s">
        <v>477</v>
      </c>
      <c r="M64" s="50">
        <v>3</v>
      </c>
      <c r="N64" s="50">
        <v>3</v>
      </c>
      <c r="O64" s="50">
        <v>0</v>
      </c>
    </row>
    <row r="65" spans="2:15" x14ac:dyDescent="0.35">
      <c r="B65" t="s">
        <v>29</v>
      </c>
      <c r="C65" s="50">
        <v>20</v>
      </c>
      <c r="D65" s="50">
        <v>20</v>
      </c>
      <c r="E65" s="50">
        <v>0</v>
      </c>
      <c r="F65" s="61"/>
      <c r="G65" s="61"/>
      <c r="H65" s="61"/>
      <c r="L65" t="s">
        <v>488</v>
      </c>
      <c r="M65" s="50">
        <v>9</v>
      </c>
      <c r="N65" s="50">
        <v>9</v>
      </c>
      <c r="O65" s="50">
        <v>0</v>
      </c>
    </row>
    <row r="66" spans="2:15" x14ac:dyDescent="0.35">
      <c r="B66" t="s">
        <v>153</v>
      </c>
      <c r="C66" s="50">
        <v>1</v>
      </c>
      <c r="D66" s="50">
        <v>1</v>
      </c>
      <c r="E66" s="50">
        <v>0</v>
      </c>
      <c r="F66" s="61"/>
      <c r="G66" s="61"/>
      <c r="H66" s="61"/>
      <c r="L66" t="s">
        <v>492</v>
      </c>
      <c r="M66" s="50">
        <v>12</v>
      </c>
      <c r="N66" s="50">
        <v>2</v>
      </c>
      <c r="O66" s="50">
        <v>10</v>
      </c>
    </row>
    <row r="67" spans="2:15" x14ac:dyDescent="0.35">
      <c r="B67" t="s">
        <v>139</v>
      </c>
      <c r="C67" s="50">
        <v>1</v>
      </c>
      <c r="D67" s="50">
        <v>1</v>
      </c>
      <c r="E67" s="50">
        <v>0</v>
      </c>
      <c r="F67" s="61"/>
      <c r="G67" s="61"/>
      <c r="H67" s="61"/>
      <c r="L67" t="s">
        <v>529</v>
      </c>
      <c r="M67" s="50">
        <v>10</v>
      </c>
      <c r="N67" s="50"/>
      <c r="O67" s="50">
        <v>10</v>
      </c>
    </row>
    <row r="68" spans="2:15" x14ac:dyDescent="0.35">
      <c r="B68" t="s">
        <v>64</v>
      </c>
      <c r="C68" s="50">
        <v>10</v>
      </c>
      <c r="D68" s="50">
        <v>10</v>
      </c>
      <c r="E68" s="50">
        <v>0</v>
      </c>
      <c r="F68" s="61"/>
      <c r="G68" s="61"/>
      <c r="H68" s="61"/>
      <c r="L68" t="s">
        <v>527</v>
      </c>
      <c r="M68" s="50">
        <v>5</v>
      </c>
      <c r="N68" s="50"/>
      <c r="O68" s="50">
        <v>5</v>
      </c>
    </row>
    <row r="69" spans="2:15" x14ac:dyDescent="0.35">
      <c r="B69" t="s">
        <v>28</v>
      </c>
      <c r="C69" s="50">
        <v>2</v>
      </c>
      <c r="D69" s="50">
        <v>2</v>
      </c>
      <c r="E69" s="50">
        <v>0</v>
      </c>
      <c r="F69" s="61"/>
      <c r="G69" s="61"/>
      <c r="H69" s="61"/>
      <c r="L69" t="s">
        <v>181</v>
      </c>
      <c r="M69" s="50">
        <v>1338</v>
      </c>
      <c r="N69" s="50">
        <v>1172</v>
      </c>
      <c r="O69" s="50">
        <v>166</v>
      </c>
    </row>
    <row r="70" spans="2:15" x14ac:dyDescent="0.35">
      <c r="B70" t="s">
        <v>246</v>
      </c>
      <c r="C70" s="50">
        <v>4</v>
      </c>
      <c r="D70" s="50">
        <v>4</v>
      </c>
      <c r="E70" s="50">
        <v>0</v>
      </c>
      <c r="F70" s="61"/>
      <c r="G70" s="61"/>
      <c r="H70" s="61"/>
    </row>
    <row r="71" spans="2:15" x14ac:dyDescent="0.35">
      <c r="B71" t="s">
        <v>319</v>
      </c>
      <c r="C71" s="50">
        <v>4</v>
      </c>
      <c r="D71" s="50">
        <v>1</v>
      </c>
      <c r="E71" s="50">
        <v>3</v>
      </c>
      <c r="F71" s="61"/>
      <c r="G71" s="61"/>
      <c r="H71" s="61"/>
    </row>
    <row r="72" spans="2:15" x14ac:dyDescent="0.35">
      <c r="B72" t="s">
        <v>366</v>
      </c>
      <c r="C72" s="50">
        <v>10</v>
      </c>
      <c r="D72" s="50">
        <v>2</v>
      </c>
      <c r="E72" s="50">
        <v>8</v>
      </c>
    </row>
    <row r="73" spans="2:15" x14ac:dyDescent="0.35">
      <c r="B73" t="s">
        <v>386</v>
      </c>
      <c r="C73" s="50">
        <v>37</v>
      </c>
      <c r="D73" s="50">
        <v>18</v>
      </c>
      <c r="E73" s="50">
        <v>19</v>
      </c>
    </row>
    <row r="74" spans="2:15" x14ac:dyDescent="0.35">
      <c r="B74" t="s">
        <v>423</v>
      </c>
      <c r="C74" s="50">
        <v>20</v>
      </c>
      <c r="D74" s="50">
        <v>9</v>
      </c>
      <c r="E74" s="50">
        <v>11</v>
      </c>
    </row>
    <row r="75" spans="2:15" x14ac:dyDescent="0.35">
      <c r="B75" t="s">
        <v>452</v>
      </c>
      <c r="C75" s="50">
        <v>1</v>
      </c>
      <c r="D75" s="50">
        <v>1</v>
      </c>
      <c r="E75" s="50">
        <v>0</v>
      </c>
    </row>
    <row r="76" spans="2:15" x14ac:dyDescent="0.35">
      <c r="B76" t="s">
        <v>462</v>
      </c>
      <c r="C76" s="50">
        <v>4</v>
      </c>
      <c r="D76" s="50">
        <v>4</v>
      </c>
      <c r="E76" s="50">
        <v>0</v>
      </c>
    </row>
    <row r="77" spans="2:15" x14ac:dyDescent="0.35">
      <c r="B77" t="s">
        <v>461</v>
      </c>
      <c r="C77" s="50">
        <v>26</v>
      </c>
      <c r="D77" s="50">
        <v>15</v>
      </c>
      <c r="E77" s="50">
        <v>11</v>
      </c>
    </row>
    <row r="78" spans="2:15" x14ac:dyDescent="0.35">
      <c r="B78" t="s">
        <v>457</v>
      </c>
      <c r="C78" s="50">
        <v>9</v>
      </c>
      <c r="D78" s="50">
        <v>7</v>
      </c>
      <c r="E78" s="50">
        <v>2</v>
      </c>
    </row>
    <row r="79" spans="2:15" x14ac:dyDescent="0.35">
      <c r="B79" t="s">
        <v>456</v>
      </c>
      <c r="C79" s="50">
        <v>10</v>
      </c>
      <c r="D79" s="50">
        <v>10</v>
      </c>
      <c r="E79" s="50">
        <v>0</v>
      </c>
    </row>
    <row r="80" spans="2:15" x14ac:dyDescent="0.35">
      <c r="B80" t="s">
        <v>458</v>
      </c>
      <c r="C80" s="50">
        <v>12</v>
      </c>
      <c r="D80" s="50">
        <v>6</v>
      </c>
      <c r="E80" s="50">
        <v>6</v>
      </c>
    </row>
    <row r="81" spans="1:5" x14ac:dyDescent="0.35">
      <c r="B81" t="s">
        <v>477</v>
      </c>
      <c r="C81" s="50">
        <v>3</v>
      </c>
      <c r="D81" s="50">
        <v>3</v>
      </c>
      <c r="E81" s="50">
        <v>0</v>
      </c>
    </row>
    <row r="82" spans="1:5" x14ac:dyDescent="0.35">
      <c r="B82" t="s">
        <v>488</v>
      </c>
      <c r="C82" s="50">
        <v>9</v>
      </c>
      <c r="D82" s="50">
        <v>9</v>
      </c>
      <c r="E82" s="50">
        <v>0</v>
      </c>
    </row>
    <row r="83" spans="1:5" x14ac:dyDescent="0.35">
      <c r="B83" t="s">
        <v>492</v>
      </c>
      <c r="C83" s="50">
        <v>12</v>
      </c>
      <c r="D83" s="50">
        <v>2</v>
      </c>
      <c r="E83" s="50">
        <v>10</v>
      </c>
    </row>
    <row r="84" spans="1:5" x14ac:dyDescent="0.35">
      <c r="B84" t="s">
        <v>529</v>
      </c>
      <c r="C84" s="50">
        <v>10</v>
      </c>
      <c r="D84" s="50"/>
      <c r="E84" s="50">
        <v>10</v>
      </c>
    </row>
    <row r="85" spans="1:5" x14ac:dyDescent="0.35">
      <c r="B85" t="s">
        <v>527</v>
      </c>
      <c r="C85" s="50">
        <v>5</v>
      </c>
      <c r="D85" s="50"/>
      <c r="E85" s="50">
        <v>5</v>
      </c>
    </row>
    <row r="86" spans="1:5" x14ac:dyDescent="0.35">
      <c r="A86" s="51" t="s">
        <v>184</v>
      </c>
      <c r="B86" s="51"/>
      <c r="C86" s="52">
        <v>329</v>
      </c>
      <c r="D86" s="52">
        <v>234</v>
      </c>
      <c r="E86" s="52">
        <v>95</v>
      </c>
    </row>
    <row r="87" spans="1:5" x14ac:dyDescent="0.35">
      <c r="A87">
        <v>11</v>
      </c>
      <c r="B87" t="s">
        <v>63</v>
      </c>
      <c r="C87" s="50">
        <v>1</v>
      </c>
      <c r="D87" s="50">
        <v>1</v>
      </c>
      <c r="E87" s="50">
        <v>0</v>
      </c>
    </row>
    <row r="88" spans="1:5" x14ac:dyDescent="0.35">
      <c r="B88" t="s">
        <v>19</v>
      </c>
      <c r="C88" s="50">
        <v>20</v>
      </c>
      <c r="D88" s="50">
        <v>20</v>
      </c>
      <c r="E88" s="50">
        <v>0</v>
      </c>
    </row>
    <row r="89" spans="1:5" x14ac:dyDescent="0.35">
      <c r="B89" t="s">
        <v>29</v>
      </c>
      <c r="C89" s="50">
        <v>10</v>
      </c>
      <c r="D89" s="50">
        <v>10</v>
      </c>
      <c r="E89" s="50">
        <v>0</v>
      </c>
    </row>
    <row r="90" spans="1:5" x14ac:dyDescent="0.35">
      <c r="B90" t="s">
        <v>37</v>
      </c>
      <c r="C90" s="50">
        <v>10</v>
      </c>
      <c r="D90" s="50">
        <v>4</v>
      </c>
      <c r="E90" s="50">
        <v>6</v>
      </c>
    </row>
    <row r="91" spans="1:5" x14ac:dyDescent="0.35">
      <c r="B91" t="s">
        <v>194</v>
      </c>
      <c r="C91" s="50">
        <v>20</v>
      </c>
      <c r="D91" s="50">
        <v>20</v>
      </c>
      <c r="E91" s="50">
        <v>0</v>
      </c>
    </row>
    <row r="92" spans="1:5" x14ac:dyDescent="0.35">
      <c r="B92" t="s">
        <v>196</v>
      </c>
      <c r="C92" s="50">
        <v>3</v>
      </c>
      <c r="D92" s="50">
        <v>3</v>
      </c>
      <c r="E92" s="50">
        <v>0</v>
      </c>
    </row>
    <row r="93" spans="1:5" x14ac:dyDescent="0.35">
      <c r="A93" s="51" t="s">
        <v>188</v>
      </c>
      <c r="B93" s="51"/>
      <c r="C93" s="52">
        <v>64</v>
      </c>
      <c r="D93" s="52">
        <v>58</v>
      </c>
      <c r="E93" s="52">
        <v>6</v>
      </c>
    </row>
    <row r="94" spans="1:5" x14ac:dyDescent="0.35">
      <c r="A94">
        <v>12</v>
      </c>
      <c r="B94" t="s">
        <v>179</v>
      </c>
      <c r="C94" s="50">
        <v>4</v>
      </c>
      <c r="D94" s="50">
        <v>4</v>
      </c>
      <c r="E94" s="50">
        <v>0</v>
      </c>
    </row>
    <row r="95" spans="1:5" x14ac:dyDescent="0.35">
      <c r="B95" t="s">
        <v>176</v>
      </c>
      <c r="C95" s="50">
        <v>16</v>
      </c>
      <c r="D95" s="50">
        <v>16</v>
      </c>
      <c r="E95" s="50">
        <v>0</v>
      </c>
    </row>
    <row r="96" spans="1:5" x14ac:dyDescent="0.35">
      <c r="B96" t="s">
        <v>16</v>
      </c>
      <c r="C96" s="50">
        <v>10</v>
      </c>
      <c r="D96" s="50">
        <v>10</v>
      </c>
      <c r="E96" s="50">
        <v>0</v>
      </c>
    </row>
    <row r="97" spans="1:5" x14ac:dyDescent="0.35">
      <c r="B97" t="s">
        <v>17</v>
      </c>
      <c r="C97" s="50">
        <v>2</v>
      </c>
      <c r="D97" s="50">
        <v>2</v>
      </c>
      <c r="E97" s="50">
        <v>0</v>
      </c>
    </row>
    <row r="98" spans="1:5" x14ac:dyDescent="0.35">
      <c r="B98" t="s">
        <v>64</v>
      </c>
      <c r="C98" s="50">
        <v>20</v>
      </c>
      <c r="D98" s="50">
        <v>20</v>
      </c>
      <c r="E98" s="50">
        <v>0</v>
      </c>
    </row>
    <row r="99" spans="1:5" x14ac:dyDescent="0.35">
      <c r="B99" t="s">
        <v>15</v>
      </c>
      <c r="C99" s="50">
        <v>1</v>
      </c>
      <c r="D99" s="50">
        <v>1</v>
      </c>
      <c r="E99" s="50">
        <v>0</v>
      </c>
    </row>
    <row r="100" spans="1:5" x14ac:dyDescent="0.35">
      <c r="B100" t="s">
        <v>14</v>
      </c>
      <c r="C100" s="50">
        <v>5</v>
      </c>
      <c r="D100" s="50">
        <v>5</v>
      </c>
      <c r="E100" s="50">
        <v>0</v>
      </c>
    </row>
    <row r="101" spans="1:5" x14ac:dyDescent="0.35">
      <c r="B101" t="s">
        <v>28</v>
      </c>
      <c r="C101" s="50">
        <v>40</v>
      </c>
      <c r="D101" s="50">
        <v>40</v>
      </c>
      <c r="E101" s="50">
        <v>0</v>
      </c>
    </row>
    <row r="102" spans="1:5" x14ac:dyDescent="0.35">
      <c r="B102" t="s">
        <v>237</v>
      </c>
      <c r="C102" s="50">
        <v>4</v>
      </c>
      <c r="D102" s="50">
        <v>4</v>
      </c>
      <c r="E102" s="50">
        <v>0</v>
      </c>
    </row>
    <row r="103" spans="1:5" x14ac:dyDescent="0.35">
      <c r="A103" s="51" t="s">
        <v>208</v>
      </c>
      <c r="B103" s="51"/>
      <c r="C103" s="52">
        <v>102</v>
      </c>
      <c r="D103" s="52">
        <v>102</v>
      </c>
      <c r="E103" s="52">
        <v>0</v>
      </c>
    </row>
    <row r="104" spans="1:5" x14ac:dyDescent="0.35">
      <c r="A104">
        <v>1</v>
      </c>
      <c r="B104" t="s">
        <v>194</v>
      </c>
      <c r="C104" s="50">
        <v>32</v>
      </c>
      <c r="D104" s="50">
        <v>32</v>
      </c>
      <c r="E104" s="50">
        <v>0</v>
      </c>
    </row>
    <row r="105" spans="1:5" x14ac:dyDescent="0.35">
      <c r="B105" t="s">
        <v>213</v>
      </c>
      <c r="C105" s="50">
        <v>2</v>
      </c>
      <c r="D105" s="50">
        <v>2</v>
      </c>
      <c r="E105" s="50">
        <v>0</v>
      </c>
    </row>
    <row r="106" spans="1:5" x14ac:dyDescent="0.35">
      <c r="B106" t="s">
        <v>214</v>
      </c>
      <c r="C106" s="50">
        <v>2</v>
      </c>
      <c r="D106" s="50">
        <v>2</v>
      </c>
      <c r="E106" s="50">
        <v>0</v>
      </c>
    </row>
    <row r="107" spans="1:5" x14ac:dyDescent="0.35">
      <c r="B107" t="s">
        <v>229</v>
      </c>
      <c r="C107" s="50">
        <v>2</v>
      </c>
      <c r="D107" s="50">
        <v>2</v>
      </c>
      <c r="E107" s="50">
        <v>0</v>
      </c>
    </row>
    <row r="108" spans="1:5" x14ac:dyDescent="0.35">
      <c r="B108" t="s">
        <v>235</v>
      </c>
      <c r="C108" s="50">
        <v>2</v>
      </c>
      <c r="D108" s="50">
        <v>2</v>
      </c>
      <c r="E108" s="50">
        <v>0</v>
      </c>
    </row>
    <row r="109" spans="1:5" x14ac:dyDescent="0.35">
      <c r="B109" t="s">
        <v>231</v>
      </c>
      <c r="C109" s="50">
        <v>1</v>
      </c>
      <c r="D109" s="50">
        <v>1</v>
      </c>
      <c r="E109" s="50">
        <v>0</v>
      </c>
    </row>
    <row r="110" spans="1:5" x14ac:dyDescent="0.35">
      <c r="B110" t="s">
        <v>232</v>
      </c>
      <c r="C110" s="50">
        <v>3</v>
      </c>
      <c r="D110" s="50">
        <v>3</v>
      </c>
      <c r="E110" s="50">
        <v>0</v>
      </c>
    </row>
    <row r="111" spans="1:5" x14ac:dyDescent="0.35">
      <c r="B111" t="s">
        <v>233</v>
      </c>
      <c r="C111" s="50">
        <v>1</v>
      </c>
      <c r="D111" s="50">
        <v>1</v>
      </c>
      <c r="E111" s="50">
        <v>0</v>
      </c>
    </row>
    <row r="112" spans="1:5" x14ac:dyDescent="0.35">
      <c r="B112" t="s">
        <v>234</v>
      </c>
      <c r="C112" s="50">
        <v>1</v>
      </c>
      <c r="D112" s="50">
        <v>1</v>
      </c>
      <c r="E112" s="50">
        <v>0</v>
      </c>
    </row>
    <row r="113" spans="1:5" x14ac:dyDescent="0.35">
      <c r="B113" t="s">
        <v>240</v>
      </c>
      <c r="C113" s="50">
        <v>16</v>
      </c>
      <c r="D113" s="50">
        <v>11</v>
      </c>
      <c r="E113" s="50">
        <v>5</v>
      </c>
    </row>
    <row r="114" spans="1:5" x14ac:dyDescent="0.35">
      <c r="B114" t="s">
        <v>239</v>
      </c>
      <c r="C114" s="50">
        <v>1</v>
      </c>
      <c r="D114" s="50">
        <v>1</v>
      </c>
      <c r="E114" s="50">
        <v>0</v>
      </c>
    </row>
    <row r="115" spans="1:5" x14ac:dyDescent="0.35">
      <c r="B115" t="s">
        <v>246</v>
      </c>
      <c r="C115" s="50">
        <v>12</v>
      </c>
      <c r="D115" s="50">
        <v>11</v>
      </c>
      <c r="E115" s="50">
        <v>1</v>
      </c>
    </row>
    <row r="116" spans="1:5" x14ac:dyDescent="0.35">
      <c r="A116" s="51" t="s">
        <v>245</v>
      </c>
      <c r="B116" s="51"/>
      <c r="C116" s="52">
        <v>75</v>
      </c>
      <c r="D116" s="52">
        <v>69</v>
      </c>
      <c r="E116" s="52">
        <v>6</v>
      </c>
    </row>
    <row r="117" spans="1:5" x14ac:dyDescent="0.35">
      <c r="A117">
        <v>2</v>
      </c>
      <c r="B117" t="s">
        <v>19</v>
      </c>
      <c r="C117" s="50">
        <v>20</v>
      </c>
      <c r="D117" s="50">
        <v>20</v>
      </c>
      <c r="E117" s="50">
        <v>0</v>
      </c>
    </row>
    <row r="118" spans="1:5" x14ac:dyDescent="0.35">
      <c r="B118" t="s">
        <v>16</v>
      </c>
      <c r="C118" s="50">
        <v>11</v>
      </c>
      <c r="D118" s="50">
        <v>11</v>
      </c>
      <c r="E118" s="50">
        <v>0</v>
      </c>
    </row>
    <row r="119" spans="1:5" x14ac:dyDescent="0.35">
      <c r="B119" t="s">
        <v>29</v>
      </c>
      <c r="C119" s="50">
        <v>25</v>
      </c>
      <c r="D119" s="50">
        <v>25</v>
      </c>
      <c r="E119" s="50">
        <v>0</v>
      </c>
    </row>
    <row r="120" spans="1:5" x14ac:dyDescent="0.35">
      <c r="B120" t="s">
        <v>64</v>
      </c>
      <c r="C120" s="50">
        <v>5</v>
      </c>
      <c r="D120" s="50">
        <v>5</v>
      </c>
      <c r="E120" s="50">
        <v>0</v>
      </c>
    </row>
    <row r="121" spans="1:5" x14ac:dyDescent="0.35">
      <c r="B121" t="s">
        <v>28</v>
      </c>
      <c r="C121" s="50">
        <v>40</v>
      </c>
      <c r="D121" s="50">
        <v>40</v>
      </c>
      <c r="E121" s="50">
        <v>0</v>
      </c>
    </row>
    <row r="122" spans="1:5" x14ac:dyDescent="0.35">
      <c r="B122" t="s">
        <v>194</v>
      </c>
      <c r="C122" s="50">
        <v>20</v>
      </c>
      <c r="D122" s="50">
        <v>20</v>
      </c>
      <c r="E122" s="50">
        <v>0</v>
      </c>
    </row>
    <row r="123" spans="1:5" x14ac:dyDescent="0.35">
      <c r="B123" t="s">
        <v>229</v>
      </c>
      <c r="C123" s="50">
        <v>1</v>
      </c>
      <c r="D123" s="50">
        <v>1</v>
      </c>
      <c r="E123" s="50">
        <v>0</v>
      </c>
    </row>
    <row r="124" spans="1:5" x14ac:dyDescent="0.35">
      <c r="B124" t="s">
        <v>234</v>
      </c>
      <c r="C124" s="50">
        <v>1</v>
      </c>
      <c r="D124" s="50">
        <v>1</v>
      </c>
      <c r="E124" s="50">
        <v>0</v>
      </c>
    </row>
    <row r="125" spans="1:5" x14ac:dyDescent="0.35">
      <c r="B125" t="s">
        <v>246</v>
      </c>
      <c r="C125" s="50">
        <v>12</v>
      </c>
      <c r="D125" s="50">
        <v>6</v>
      </c>
      <c r="E125" s="50">
        <v>6</v>
      </c>
    </row>
    <row r="126" spans="1:5" x14ac:dyDescent="0.35">
      <c r="B126" t="s">
        <v>257</v>
      </c>
      <c r="C126" s="50">
        <v>1</v>
      </c>
      <c r="D126" s="50">
        <v>1</v>
      </c>
      <c r="E126" s="50">
        <v>0</v>
      </c>
    </row>
    <row r="127" spans="1:5" x14ac:dyDescent="0.35">
      <c r="B127" t="s">
        <v>273</v>
      </c>
      <c r="C127" s="50">
        <v>3</v>
      </c>
      <c r="D127" s="50">
        <v>3</v>
      </c>
      <c r="E127" s="50">
        <v>0</v>
      </c>
    </row>
    <row r="128" spans="1:5" x14ac:dyDescent="0.35">
      <c r="B128" t="s">
        <v>423</v>
      </c>
      <c r="C128" s="50">
        <v>1</v>
      </c>
      <c r="D128" s="50">
        <v>1</v>
      </c>
      <c r="E128" s="50">
        <v>0</v>
      </c>
    </row>
    <row r="129" spans="1:5" x14ac:dyDescent="0.35">
      <c r="A129" s="51" t="s">
        <v>272</v>
      </c>
      <c r="B129" s="51"/>
      <c r="C129" s="52">
        <v>140</v>
      </c>
      <c r="D129" s="52">
        <v>134</v>
      </c>
      <c r="E129" s="52">
        <v>6</v>
      </c>
    </row>
    <row r="130" spans="1:5" x14ac:dyDescent="0.35">
      <c r="A130">
        <v>4</v>
      </c>
      <c r="B130" t="s">
        <v>16</v>
      </c>
      <c r="C130" s="50">
        <v>5</v>
      </c>
      <c r="D130" s="50">
        <v>5</v>
      </c>
      <c r="E130" s="50">
        <v>0</v>
      </c>
    </row>
    <row r="131" spans="1:5" x14ac:dyDescent="0.35">
      <c r="B131" t="s">
        <v>17</v>
      </c>
      <c r="C131" s="50">
        <v>2</v>
      </c>
      <c r="D131" s="50">
        <v>2</v>
      </c>
      <c r="E131" s="50">
        <v>0</v>
      </c>
    </row>
    <row r="132" spans="1:5" x14ac:dyDescent="0.35">
      <c r="B132" t="s">
        <v>29</v>
      </c>
      <c r="C132" s="50">
        <v>21</v>
      </c>
      <c r="D132" s="50">
        <v>21</v>
      </c>
      <c r="E132" s="50">
        <v>0</v>
      </c>
    </row>
    <row r="133" spans="1:5" x14ac:dyDescent="0.35">
      <c r="B133" t="s">
        <v>28</v>
      </c>
      <c r="C133" s="50">
        <v>80</v>
      </c>
      <c r="D133" s="50">
        <v>55</v>
      </c>
      <c r="E133" s="50">
        <v>25</v>
      </c>
    </row>
    <row r="134" spans="1:5" x14ac:dyDescent="0.35">
      <c r="B134" t="s">
        <v>233</v>
      </c>
      <c r="C134" s="50">
        <v>2</v>
      </c>
      <c r="D134" s="50">
        <v>2</v>
      </c>
      <c r="E134" s="50">
        <v>0</v>
      </c>
    </row>
    <row r="135" spans="1:5" x14ac:dyDescent="0.35">
      <c r="B135" t="s">
        <v>363</v>
      </c>
      <c r="C135" s="50">
        <v>6</v>
      </c>
      <c r="D135" s="50">
        <v>6</v>
      </c>
      <c r="E135" s="50">
        <v>0</v>
      </c>
    </row>
    <row r="136" spans="1:5" x14ac:dyDescent="0.35">
      <c r="B136" t="s">
        <v>364</v>
      </c>
      <c r="C136" s="50">
        <v>2</v>
      </c>
      <c r="D136" s="50">
        <v>2</v>
      </c>
      <c r="E136" s="50">
        <v>0</v>
      </c>
    </row>
    <row r="137" spans="1:5" x14ac:dyDescent="0.35">
      <c r="B137" t="s">
        <v>365</v>
      </c>
      <c r="C137" s="50">
        <v>2</v>
      </c>
      <c r="D137" s="50">
        <v>2</v>
      </c>
      <c r="E137" s="50">
        <v>0</v>
      </c>
    </row>
    <row r="138" spans="1:5" x14ac:dyDescent="0.35">
      <c r="B138" t="s">
        <v>370</v>
      </c>
      <c r="C138" s="50">
        <v>2</v>
      </c>
      <c r="D138" s="50">
        <v>1</v>
      </c>
      <c r="E138" s="50">
        <v>1</v>
      </c>
    </row>
    <row r="139" spans="1:5" x14ac:dyDescent="0.35">
      <c r="B139" t="s">
        <v>366</v>
      </c>
      <c r="C139" s="50">
        <v>10</v>
      </c>
      <c r="D139" s="50">
        <v>10</v>
      </c>
      <c r="E139" s="50">
        <v>0</v>
      </c>
    </row>
    <row r="140" spans="1:5" x14ac:dyDescent="0.35">
      <c r="A140" s="51" t="s">
        <v>347</v>
      </c>
      <c r="B140" s="51"/>
      <c r="C140" s="52">
        <v>132</v>
      </c>
      <c r="D140" s="52">
        <v>106</v>
      </c>
      <c r="E140" s="52">
        <v>26</v>
      </c>
    </row>
    <row r="141" spans="1:5" x14ac:dyDescent="0.35">
      <c r="A141">
        <v>5</v>
      </c>
      <c r="B141" t="s">
        <v>19</v>
      </c>
      <c r="C141" s="50">
        <v>12</v>
      </c>
      <c r="D141" s="50">
        <v>12</v>
      </c>
      <c r="E141" s="50">
        <v>0</v>
      </c>
    </row>
    <row r="142" spans="1:5" x14ac:dyDescent="0.35">
      <c r="B142" t="s">
        <v>31</v>
      </c>
      <c r="C142" s="50">
        <v>4</v>
      </c>
      <c r="D142" s="50">
        <v>4</v>
      </c>
      <c r="E142" s="50">
        <v>0</v>
      </c>
    </row>
    <row r="143" spans="1:5" x14ac:dyDescent="0.35">
      <c r="B143" t="s">
        <v>29</v>
      </c>
      <c r="C143" s="50">
        <v>20</v>
      </c>
      <c r="D143" s="50">
        <v>20</v>
      </c>
      <c r="E143" s="50">
        <v>0</v>
      </c>
    </row>
    <row r="144" spans="1:5" x14ac:dyDescent="0.35">
      <c r="B144" t="s">
        <v>64</v>
      </c>
      <c r="C144" s="50">
        <v>10</v>
      </c>
      <c r="D144" s="50">
        <v>10</v>
      </c>
      <c r="E144" s="50">
        <v>0</v>
      </c>
    </row>
    <row r="145" spans="1:5" x14ac:dyDescent="0.35">
      <c r="B145" t="s">
        <v>233</v>
      </c>
      <c r="C145" s="50">
        <v>2</v>
      </c>
      <c r="D145" s="50">
        <v>2</v>
      </c>
      <c r="E145" s="50">
        <v>0</v>
      </c>
    </row>
    <row r="146" spans="1:5" x14ac:dyDescent="0.35">
      <c r="B146" t="s">
        <v>363</v>
      </c>
      <c r="C146" s="50">
        <v>3</v>
      </c>
      <c r="D146" s="50">
        <v>3</v>
      </c>
      <c r="E146" s="50">
        <v>0</v>
      </c>
    </row>
    <row r="147" spans="1:5" x14ac:dyDescent="0.35">
      <c r="B147" t="s">
        <v>376</v>
      </c>
      <c r="C147" s="50">
        <v>1</v>
      </c>
      <c r="D147" s="50">
        <v>1</v>
      </c>
      <c r="E147" s="50">
        <v>0</v>
      </c>
    </row>
    <row r="148" spans="1:5" x14ac:dyDescent="0.35">
      <c r="B148" t="s">
        <v>384</v>
      </c>
      <c r="C148" s="50">
        <v>1</v>
      </c>
      <c r="D148" s="50">
        <v>1</v>
      </c>
      <c r="E148" s="50">
        <v>0</v>
      </c>
    </row>
    <row r="149" spans="1:5" x14ac:dyDescent="0.35">
      <c r="B149" t="s">
        <v>386</v>
      </c>
      <c r="C149" s="50">
        <v>16</v>
      </c>
      <c r="D149" s="50">
        <v>16</v>
      </c>
      <c r="E149" s="50">
        <v>0</v>
      </c>
    </row>
    <row r="150" spans="1:5" x14ac:dyDescent="0.35">
      <c r="B150" t="s">
        <v>389</v>
      </c>
      <c r="C150" s="50">
        <v>16</v>
      </c>
      <c r="D150" s="50">
        <v>11</v>
      </c>
      <c r="E150" s="50">
        <v>5</v>
      </c>
    </row>
    <row r="151" spans="1:5" x14ac:dyDescent="0.35">
      <c r="A151" s="51" t="s">
        <v>413</v>
      </c>
      <c r="B151" s="51"/>
      <c r="C151" s="52">
        <v>85</v>
      </c>
      <c r="D151" s="52">
        <v>80</v>
      </c>
      <c r="E151" s="52">
        <v>5</v>
      </c>
    </row>
    <row r="152" spans="1:5" x14ac:dyDescent="0.35">
      <c r="A152" t="s">
        <v>181</v>
      </c>
      <c r="C152" s="50">
        <v>1338</v>
      </c>
      <c r="D152" s="50">
        <v>1172</v>
      </c>
      <c r="E152" s="50">
        <v>166</v>
      </c>
    </row>
  </sheetData>
  <pageMargins left="0.59055118110236227" right="0.39370078740157483" top="0.19685039370078741" bottom="0.39370078740157483" header="0" footer="0"/>
  <pageSetup scale="75"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303BF-8EE7-4C39-BFE8-B82AD7E509B3}">
  <sheetPr>
    <tabColor rgb="FFFFFF00"/>
    <pageSetUpPr fitToPage="1"/>
  </sheetPr>
  <dimension ref="A1:D67"/>
  <sheetViews>
    <sheetView topLeftCell="A46" workbookViewId="0">
      <selection activeCell="C54" sqref="C54"/>
    </sheetView>
  </sheetViews>
  <sheetFormatPr defaultRowHeight="14.5" x14ac:dyDescent="0.35"/>
  <cols>
    <col min="1" max="1" width="43.1796875" bestFit="1" customWidth="1"/>
    <col min="2" max="2" width="15.08984375" bestFit="1" customWidth="1"/>
    <col min="3" max="3" width="16.36328125" bestFit="1" customWidth="1"/>
    <col min="4" max="4" width="18.7265625" bestFit="1" customWidth="1"/>
  </cols>
  <sheetData>
    <row r="1" spans="1:4" x14ac:dyDescent="0.35">
      <c r="A1" s="87" t="s">
        <v>334</v>
      </c>
    </row>
    <row r="3" spans="1:4" x14ac:dyDescent="0.35">
      <c r="B3" s="49" t="s">
        <v>190</v>
      </c>
    </row>
    <row r="4" spans="1:4" x14ac:dyDescent="0.35">
      <c r="A4" s="49" t="s">
        <v>178</v>
      </c>
      <c r="B4" t="s">
        <v>191</v>
      </c>
      <c r="C4" t="s">
        <v>192</v>
      </c>
      <c r="D4" t="s">
        <v>189</v>
      </c>
    </row>
    <row r="5" spans="1:4" x14ac:dyDescent="0.35">
      <c r="A5" t="s">
        <v>134</v>
      </c>
      <c r="B5" s="50">
        <v>1</v>
      </c>
      <c r="C5" s="50">
        <v>1</v>
      </c>
      <c r="D5" s="50">
        <v>0</v>
      </c>
    </row>
    <row r="6" spans="1:4" x14ac:dyDescent="0.35">
      <c r="A6" t="s">
        <v>63</v>
      </c>
      <c r="B6" s="50">
        <v>2</v>
      </c>
      <c r="C6" s="50">
        <v>2</v>
      </c>
      <c r="D6" s="50">
        <v>0</v>
      </c>
    </row>
    <row r="7" spans="1:4" x14ac:dyDescent="0.35">
      <c r="A7" s="89" t="s">
        <v>19</v>
      </c>
      <c r="B7" s="90">
        <v>152</v>
      </c>
      <c r="C7" s="90">
        <v>147</v>
      </c>
      <c r="D7" s="90">
        <v>5</v>
      </c>
    </row>
    <row r="8" spans="1:4" x14ac:dyDescent="0.35">
      <c r="A8" t="s">
        <v>179</v>
      </c>
      <c r="B8" s="50">
        <v>4</v>
      </c>
      <c r="C8" s="50">
        <v>4</v>
      </c>
      <c r="D8" s="50">
        <v>0</v>
      </c>
    </row>
    <row r="9" spans="1:4" x14ac:dyDescent="0.35">
      <c r="A9" t="s">
        <v>180</v>
      </c>
      <c r="B9" s="50">
        <v>41</v>
      </c>
      <c r="C9" s="50">
        <v>39</v>
      </c>
      <c r="D9" s="50">
        <v>2</v>
      </c>
    </row>
    <row r="10" spans="1:4" x14ac:dyDescent="0.35">
      <c r="A10" t="s">
        <v>176</v>
      </c>
      <c r="B10" s="50">
        <v>56</v>
      </c>
      <c r="C10" s="50">
        <v>53</v>
      </c>
      <c r="D10" s="50">
        <v>3</v>
      </c>
    </row>
    <row r="11" spans="1:4" x14ac:dyDescent="0.35">
      <c r="A11" s="89" t="s">
        <v>177</v>
      </c>
      <c r="B11" s="90">
        <v>42</v>
      </c>
      <c r="C11" s="90">
        <v>40</v>
      </c>
      <c r="D11" s="90">
        <v>2</v>
      </c>
    </row>
    <row r="12" spans="1:4" x14ac:dyDescent="0.35">
      <c r="A12" s="89" t="s">
        <v>16</v>
      </c>
      <c r="B12" s="90">
        <v>91</v>
      </c>
      <c r="C12" s="90">
        <v>91</v>
      </c>
      <c r="D12" s="90">
        <v>0</v>
      </c>
    </row>
    <row r="13" spans="1:4" x14ac:dyDescent="0.35">
      <c r="A13" t="s">
        <v>55</v>
      </c>
      <c r="B13" s="50">
        <v>4</v>
      </c>
      <c r="C13" s="50">
        <v>4</v>
      </c>
      <c r="D13" s="50">
        <v>0</v>
      </c>
    </row>
    <row r="14" spans="1:4" x14ac:dyDescent="0.35">
      <c r="A14" t="s">
        <v>17</v>
      </c>
      <c r="B14" s="50">
        <v>14</v>
      </c>
      <c r="C14" s="50">
        <v>14</v>
      </c>
      <c r="D14" s="50">
        <v>0</v>
      </c>
    </row>
    <row r="15" spans="1:4" x14ac:dyDescent="0.35">
      <c r="A15" t="s">
        <v>31</v>
      </c>
      <c r="B15" s="50">
        <v>13</v>
      </c>
      <c r="C15" s="50">
        <v>13</v>
      </c>
      <c r="D15" s="50">
        <v>0</v>
      </c>
    </row>
    <row r="16" spans="1:4" x14ac:dyDescent="0.35">
      <c r="A16" t="s">
        <v>29</v>
      </c>
      <c r="B16" s="50">
        <v>145</v>
      </c>
      <c r="C16" s="50">
        <v>140</v>
      </c>
      <c r="D16" s="50">
        <v>5</v>
      </c>
    </row>
    <row r="17" spans="1:4" x14ac:dyDescent="0.35">
      <c r="A17" t="s">
        <v>153</v>
      </c>
      <c r="B17" s="50">
        <v>1</v>
      </c>
      <c r="C17" s="50">
        <v>1</v>
      </c>
      <c r="D17" s="50">
        <v>0</v>
      </c>
    </row>
    <row r="18" spans="1:4" x14ac:dyDescent="0.35">
      <c r="A18" t="s">
        <v>139</v>
      </c>
      <c r="B18" s="50">
        <v>1</v>
      </c>
      <c r="C18" s="50">
        <v>1</v>
      </c>
      <c r="D18" s="50">
        <v>0</v>
      </c>
    </row>
    <row r="19" spans="1:4" x14ac:dyDescent="0.35">
      <c r="A19" s="89" t="s">
        <v>64</v>
      </c>
      <c r="B19" s="90">
        <v>65</v>
      </c>
      <c r="C19" s="90">
        <v>62</v>
      </c>
      <c r="D19" s="90">
        <v>3</v>
      </c>
    </row>
    <row r="20" spans="1:4" x14ac:dyDescent="0.35">
      <c r="A20" t="s">
        <v>15</v>
      </c>
      <c r="B20" s="50">
        <v>3</v>
      </c>
      <c r="C20" s="50">
        <v>3</v>
      </c>
      <c r="D20" s="50">
        <v>0</v>
      </c>
    </row>
    <row r="21" spans="1:4" x14ac:dyDescent="0.35">
      <c r="A21" t="s">
        <v>14</v>
      </c>
      <c r="B21" s="50">
        <v>7</v>
      </c>
      <c r="C21" s="50">
        <v>7</v>
      </c>
      <c r="D21" s="50">
        <v>0</v>
      </c>
    </row>
    <row r="22" spans="1:4" x14ac:dyDescent="0.35">
      <c r="A22" s="89" t="s">
        <v>28</v>
      </c>
      <c r="B22" s="90">
        <v>202</v>
      </c>
      <c r="C22" s="90">
        <v>167</v>
      </c>
      <c r="D22" s="90">
        <v>35</v>
      </c>
    </row>
    <row r="23" spans="1:4" x14ac:dyDescent="0.35">
      <c r="A23" t="s">
        <v>21</v>
      </c>
      <c r="B23" s="50">
        <v>1</v>
      </c>
      <c r="C23" s="50">
        <v>1</v>
      </c>
      <c r="D23" s="50">
        <v>0</v>
      </c>
    </row>
    <row r="24" spans="1:4" x14ac:dyDescent="0.35">
      <c r="A24" s="89" t="s">
        <v>37</v>
      </c>
      <c r="B24" s="90">
        <v>19</v>
      </c>
      <c r="C24" s="90">
        <v>13</v>
      </c>
      <c r="D24" s="90">
        <v>6</v>
      </c>
    </row>
    <row r="25" spans="1:4" x14ac:dyDescent="0.35">
      <c r="A25" t="s">
        <v>33</v>
      </c>
      <c r="B25" s="50">
        <v>2</v>
      </c>
      <c r="C25" s="50">
        <v>2</v>
      </c>
      <c r="D25" s="50">
        <v>0</v>
      </c>
    </row>
    <row r="26" spans="1:4" x14ac:dyDescent="0.35">
      <c r="A26" s="89" t="s">
        <v>194</v>
      </c>
      <c r="B26" s="90">
        <v>77</v>
      </c>
      <c r="C26" s="90">
        <v>77</v>
      </c>
      <c r="D26" s="90">
        <v>0</v>
      </c>
    </row>
    <row r="27" spans="1:4" x14ac:dyDescent="0.35">
      <c r="A27" t="s">
        <v>196</v>
      </c>
      <c r="B27" s="50">
        <v>3</v>
      </c>
      <c r="C27" s="50">
        <v>3</v>
      </c>
      <c r="D27" s="50">
        <v>0</v>
      </c>
    </row>
    <row r="28" spans="1:4" x14ac:dyDescent="0.35">
      <c r="A28" t="s">
        <v>237</v>
      </c>
      <c r="B28" s="50">
        <v>4</v>
      </c>
      <c r="C28" s="50">
        <v>4</v>
      </c>
      <c r="D28" s="50">
        <v>0</v>
      </c>
    </row>
    <row r="29" spans="1:4" x14ac:dyDescent="0.35">
      <c r="A29" t="s">
        <v>213</v>
      </c>
      <c r="B29" s="50">
        <v>2</v>
      </c>
      <c r="C29" s="50">
        <v>2</v>
      </c>
      <c r="D29" s="50">
        <v>0</v>
      </c>
    </row>
    <row r="30" spans="1:4" x14ac:dyDescent="0.35">
      <c r="A30" t="s">
        <v>214</v>
      </c>
      <c r="B30" s="50">
        <v>2</v>
      </c>
      <c r="C30" s="50">
        <v>2</v>
      </c>
      <c r="D30" s="50">
        <v>0</v>
      </c>
    </row>
    <row r="31" spans="1:4" x14ac:dyDescent="0.35">
      <c r="A31" s="33" t="s">
        <v>229</v>
      </c>
      <c r="B31" s="61">
        <v>5</v>
      </c>
      <c r="C31" s="61">
        <v>5</v>
      </c>
      <c r="D31" s="61">
        <v>0</v>
      </c>
    </row>
    <row r="32" spans="1:4" x14ac:dyDescent="0.35">
      <c r="A32" t="s">
        <v>235</v>
      </c>
      <c r="B32" s="50">
        <v>2</v>
      </c>
      <c r="C32" s="50">
        <v>2</v>
      </c>
      <c r="D32" s="50">
        <v>0</v>
      </c>
    </row>
    <row r="33" spans="1:4" x14ac:dyDescent="0.35">
      <c r="A33" t="s">
        <v>231</v>
      </c>
      <c r="B33" s="50">
        <v>1</v>
      </c>
      <c r="C33" s="50">
        <v>1</v>
      </c>
      <c r="D33" s="50">
        <v>0</v>
      </c>
    </row>
    <row r="34" spans="1:4" x14ac:dyDescent="0.35">
      <c r="A34" t="s">
        <v>232</v>
      </c>
      <c r="B34" s="50">
        <v>3</v>
      </c>
      <c r="C34" s="50">
        <v>3</v>
      </c>
      <c r="D34" s="50">
        <v>0</v>
      </c>
    </row>
    <row r="35" spans="1:4" x14ac:dyDescent="0.35">
      <c r="A35" t="s">
        <v>233</v>
      </c>
      <c r="B35" s="50">
        <v>7</v>
      </c>
      <c r="C35" s="50">
        <v>6</v>
      </c>
      <c r="D35" s="50">
        <v>1</v>
      </c>
    </row>
    <row r="36" spans="1:4" x14ac:dyDescent="0.35">
      <c r="A36" t="s">
        <v>234</v>
      </c>
      <c r="B36" s="50">
        <v>2</v>
      </c>
      <c r="C36" s="50">
        <v>2</v>
      </c>
      <c r="D36" s="50">
        <v>0</v>
      </c>
    </row>
    <row r="37" spans="1:4" x14ac:dyDescent="0.35">
      <c r="A37" s="89" t="s">
        <v>240</v>
      </c>
      <c r="B37" s="90">
        <v>16</v>
      </c>
      <c r="C37" s="90">
        <v>11</v>
      </c>
      <c r="D37" s="90">
        <v>5</v>
      </c>
    </row>
    <row r="38" spans="1:4" x14ac:dyDescent="0.35">
      <c r="A38" t="s">
        <v>239</v>
      </c>
      <c r="B38" s="50">
        <v>1</v>
      </c>
      <c r="C38" s="50">
        <v>1</v>
      </c>
      <c r="D38" s="50">
        <v>0</v>
      </c>
    </row>
    <row r="39" spans="1:4" x14ac:dyDescent="0.35">
      <c r="A39" s="89" t="s">
        <v>246</v>
      </c>
      <c r="B39" s="90">
        <v>28</v>
      </c>
      <c r="C39" s="90">
        <v>21</v>
      </c>
      <c r="D39" s="90">
        <v>7</v>
      </c>
    </row>
    <row r="40" spans="1:4" x14ac:dyDescent="0.35">
      <c r="A40" t="s">
        <v>268</v>
      </c>
      <c r="B40" s="50">
        <v>1</v>
      </c>
      <c r="C40" s="50">
        <v>1</v>
      </c>
      <c r="D40" s="50">
        <v>0</v>
      </c>
    </row>
    <row r="41" spans="1:4" x14ac:dyDescent="0.35">
      <c r="A41" t="s">
        <v>257</v>
      </c>
      <c r="B41" s="50">
        <v>1</v>
      </c>
      <c r="C41" s="50">
        <v>1</v>
      </c>
      <c r="D41" s="50">
        <v>0</v>
      </c>
    </row>
    <row r="42" spans="1:4" x14ac:dyDescent="0.35">
      <c r="A42" t="s">
        <v>273</v>
      </c>
      <c r="B42" s="50">
        <v>3</v>
      </c>
      <c r="C42" s="50">
        <v>3</v>
      </c>
      <c r="D42" s="50">
        <v>0</v>
      </c>
    </row>
    <row r="43" spans="1:4" x14ac:dyDescent="0.35">
      <c r="A43" s="89" t="s">
        <v>323</v>
      </c>
      <c r="B43" s="90">
        <v>20</v>
      </c>
      <c r="C43" s="90">
        <v>5</v>
      </c>
      <c r="D43" s="90">
        <v>15</v>
      </c>
    </row>
    <row r="44" spans="1:4" x14ac:dyDescent="0.35">
      <c r="A44" s="89" t="s">
        <v>316</v>
      </c>
      <c r="B44" s="90">
        <v>2</v>
      </c>
      <c r="C44" s="90">
        <v>1</v>
      </c>
      <c r="D44" s="90">
        <v>1</v>
      </c>
    </row>
    <row r="45" spans="1:4" x14ac:dyDescent="0.35">
      <c r="A45" t="s">
        <v>317</v>
      </c>
      <c r="B45" s="50">
        <v>2</v>
      </c>
      <c r="C45" s="50">
        <v>2</v>
      </c>
      <c r="D45" s="50">
        <v>0</v>
      </c>
    </row>
    <row r="46" spans="1:4" x14ac:dyDescent="0.35">
      <c r="A46" s="89" t="s">
        <v>319</v>
      </c>
      <c r="B46" s="90">
        <v>4</v>
      </c>
      <c r="C46" s="90">
        <v>3</v>
      </c>
      <c r="D46" s="90">
        <v>1</v>
      </c>
    </row>
    <row r="47" spans="1:4" x14ac:dyDescent="0.35">
      <c r="A47" t="s">
        <v>340</v>
      </c>
      <c r="B47" s="50">
        <v>2</v>
      </c>
      <c r="C47" s="50">
        <v>2</v>
      </c>
      <c r="D47" s="50">
        <v>0</v>
      </c>
    </row>
    <row r="48" spans="1:4" x14ac:dyDescent="0.35">
      <c r="A48" t="s">
        <v>363</v>
      </c>
      <c r="B48" s="50">
        <v>9</v>
      </c>
      <c r="C48" s="50">
        <v>9</v>
      </c>
      <c r="D48" s="50">
        <v>0</v>
      </c>
    </row>
    <row r="49" spans="1:4" x14ac:dyDescent="0.35">
      <c r="A49" t="s">
        <v>364</v>
      </c>
      <c r="B49" s="50">
        <v>2</v>
      </c>
      <c r="C49" s="50">
        <v>2</v>
      </c>
      <c r="D49" s="50">
        <v>0</v>
      </c>
    </row>
    <row r="50" spans="1:4" x14ac:dyDescent="0.35">
      <c r="A50" t="s">
        <v>365</v>
      </c>
      <c r="B50" s="50">
        <v>2</v>
      </c>
      <c r="C50" s="50">
        <v>2</v>
      </c>
      <c r="D50" s="50">
        <v>0</v>
      </c>
    </row>
    <row r="51" spans="1:4" x14ac:dyDescent="0.35">
      <c r="A51" t="s">
        <v>370</v>
      </c>
      <c r="B51" s="50">
        <v>2</v>
      </c>
      <c r="C51" s="50">
        <v>1</v>
      </c>
      <c r="D51" s="50">
        <v>1</v>
      </c>
    </row>
    <row r="52" spans="1:4" x14ac:dyDescent="0.35">
      <c r="A52" t="s">
        <v>376</v>
      </c>
      <c r="B52" s="50">
        <v>1</v>
      </c>
      <c r="C52" s="50">
        <v>1</v>
      </c>
      <c r="D52" s="50">
        <v>0</v>
      </c>
    </row>
    <row r="53" spans="1:4" x14ac:dyDescent="0.35">
      <c r="A53" t="s">
        <v>384</v>
      </c>
      <c r="B53" s="50">
        <v>1</v>
      </c>
      <c r="C53" s="50">
        <v>1</v>
      </c>
      <c r="D53" s="50">
        <v>0</v>
      </c>
    </row>
    <row r="54" spans="1:4" x14ac:dyDescent="0.35">
      <c r="A54" t="s">
        <v>366</v>
      </c>
      <c r="B54" s="50">
        <v>20</v>
      </c>
      <c r="C54" s="50">
        <v>12</v>
      </c>
      <c r="D54" s="50">
        <v>8</v>
      </c>
    </row>
    <row r="55" spans="1:4" x14ac:dyDescent="0.35">
      <c r="A55" t="s">
        <v>386</v>
      </c>
      <c r="B55" s="50">
        <v>85</v>
      </c>
      <c r="C55" s="50">
        <v>56</v>
      </c>
      <c r="D55" s="50">
        <v>29</v>
      </c>
    </row>
    <row r="56" spans="1:4" x14ac:dyDescent="0.35">
      <c r="A56" t="s">
        <v>389</v>
      </c>
      <c r="B56" s="50">
        <v>16</v>
      </c>
      <c r="C56" s="50">
        <v>11</v>
      </c>
      <c r="D56" s="50">
        <v>5</v>
      </c>
    </row>
    <row r="57" spans="1:4" x14ac:dyDescent="0.35">
      <c r="A57" t="s">
        <v>423</v>
      </c>
      <c r="B57" s="50">
        <v>41</v>
      </c>
      <c r="C57" s="50">
        <v>26</v>
      </c>
      <c r="D57" s="50">
        <v>15</v>
      </c>
    </row>
    <row r="58" spans="1:4" x14ac:dyDescent="0.35">
      <c r="A58" t="s">
        <v>452</v>
      </c>
      <c r="B58" s="50">
        <v>1</v>
      </c>
      <c r="C58" s="50">
        <v>1</v>
      </c>
      <c r="D58" s="50">
        <v>0</v>
      </c>
    </row>
    <row r="59" spans="1:4" x14ac:dyDescent="0.35">
      <c r="A59" t="s">
        <v>462</v>
      </c>
      <c r="B59" s="50">
        <v>4</v>
      </c>
      <c r="C59" s="50">
        <v>4</v>
      </c>
      <c r="D59" s="50">
        <v>0</v>
      </c>
    </row>
    <row r="60" spans="1:4" x14ac:dyDescent="0.35">
      <c r="A60" t="s">
        <v>461</v>
      </c>
      <c r="B60" s="50">
        <v>26</v>
      </c>
      <c r="C60" s="50">
        <v>15</v>
      </c>
      <c r="D60" s="50">
        <v>11</v>
      </c>
    </row>
    <row r="61" spans="1:4" x14ac:dyDescent="0.35">
      <c r="A61" t="s">
        <v>457</v>
      </c>
      <c r="B61" s="50">
        <v>4</v>
      </c>
      <c r="C61" s="50">
        <v>2</v>
      </c>
      <c r="D61" s="50">
        <v>2</v>
      </c>
    </row>
    <row r="62" spans="1:4" x14ac:dyDescent="0.35">
      <c r="A62" t="s">
        <v>456</v>
      </c>
      <c r="B62" s="50">
        <v>10</v>
      </c>
      <c r="C62" s="50">
        <v>10</v>
      </c>
      <c r="D62" s="50">
        <v>0</v>
      </c>
    </row>
    <row r="63" spans="1:4" x14ac:dyDescent="0.35">
      <c r="A63" t="s">
        <v>458</v>
      </c>
      <c r="B63" s="50">
        <v>12</v>
      </c>
      <c r="C63" s="50">
        <v>6</v>
      </c>
      <c r="D63" s="50">
        <v>6</v>
      </c>
    </row>
    <row r="64" spans="1:4" x14ac:dyDescent="0.35">
      <c r="A64" t="s">
        <v>477</v>
      </c>
      <c r="B64" s="50">
        <v>3</v>
      </c>
      <c r="C64" s="50">
        <v>3</v>
      </c>
      <c r="D64" s="50">
        <v>0</v>
      </c>
    </row>
    <row r="65" spans="1:4" x14ac:dyDescent="0.35">
      <c r="A65" t="s">
        <v>488</v>
      </c>
      <c r="B65" s="50">
        <v>9</v>
      </c>
      <c r="C65" s="50">
        <v>9</v>
      </c>
      <c r="D65" s="50">
        <v>0</v>
      </c>
    </row>
    <row r="66" spans="1:4" x14ac:dyDescent="0.35">
      <c r="A66" t="s">
        <v>492</v>
      </c>
      <c r="B66" s="50">
        <v>12</v>
      </c>
      <c r="C66" s="50">
        <v>2</v>
      </c>
      <c r="D66" s="50">
        <v>10</v>
      </c>
    </row>
    <row r="67" spans="1:4" x14ac:dyDescent="0.35">
      <c r="A67" t="s">
        <v>181</v>
      </c>
      <c r="B67" s="50">
        <v>1314</v>
      </c>
      <c r="C67" s="50">
        <v>1136</v>
      </c>
      <c r="D67" s="50">
        <v>178</v>
      </c>
    </row>
  </sheetData>
  <pageMargins left="0.59055118110236227" right="0.39370078740157483" top="0.19685039370078741" bottom="0" header="0" footer="0"/>
  <pageSetup scale="91" orientation="portrait" r:id="rId2"/>
  <headerFooter>
    <oddFooter>&amp;R&amp;A&amp;D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Suppluer Code</vt:lpstr>
      <vt:lpstr>Raw Inventory</vt:lpstr>
      <vt:lpstr>Purcahse_Inv</vt:lpstr>
      <vt:lpstr>Stock Bal</vt:lpstr>
      <vt:lpstr>Stock Bal_Audit </vt:lpstr>
      <vt:lpstr>'Raw Inventory'!Print_Area</vt:lpstr>
      <vt:lpstr>'Stock Bal'!Print_Area</vt:lpstr>
      <vt:lpstr>'Stock Bal_Audit 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2021-10-29T16:08:01Z</cp:lastPrinted>
  <dcterms:created xsi:type="dcterms:W3CDTF">2020-03-12T07:09:25Z</dcterms:created>
  <dcterms:modified xsi:type="dcterms:W3CDTF">2021-10-29T16:37:35Z</dcterms:modified>
</cp:coreProperties>
</file>